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s.kargar.TREAT\Downloads\"/>
    </mc:Choice>
  </mc:AlternateContent>
  <xr:revisionPtr revIDLastSave="0" documentId="13_ncr:1_{64CFEB3F-A3CE-4CE5-906C-C90F9B52C56C}" xr6:coauthVersionLast="47" xr6:coauthVersionMax="47" xr10:uidLastSave="{00000000-0000-0000-0000-000000000000}"/>
  <bookViews>
    <workbookView xWindow="-120" yWindow="-120" windowWidth="24240" windowHeight="13020" xr2:uid="{00000000-000D-0000-FFFF-FFFF00000000}"/>
  </bookViews>
  <sheets>
    <sheet name="دولتی" sheetId="1" r:id="rId1"/>
    <sheet name="خصوصی" sheetId="2" r:id="rId2"/>
    <sheet name="عمومی غیر دولتی" sheetId="3" r:id="rId3"/>
    <sheet name="خیریه" sheetId="4" r:id="rId4"/>
    <sheet name="تعرفه پرستاری" sheetId="6" r:id="rId5"/>
    <sheet name="دندان پزشکی" sheetId="8" r:id="rId6"/>
  </sheets>
  <definedNames>
    <definedName name="_xlnm.Print_Area" localSheetId="1">خصوصی!$A$1:$I$49</definedName>
    <definedName name="_xlnm.Print_Area" localSheetId="3">خیریه!$A$1:$I$49</definedName>
    <definedName name="_xlnm.Print_Area" localSheetId="0">دولتی!$A$1:$I$56</definedName>
    <definedName name="_xlnm.Print_Area" localSheetId="2">'عمومی غیر دولتی'!$A$1:$I$49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2" i="1" l="1"/>
  <c r="D22" i="3"/>
  <c r="E10" i="3"/>
  <c r="E9" i="3"/>
  <c r="E22" i="2"/>
  <c r="F22" i="2"/>
  <c r="D30" i="1"/>
  <c r="D29" i="1"/>
  <c r="E28" i="1"/>
  <c r="E21" i="4"/>
  <c r="E20" i="4"/>
  <c r="E19" i="4"/>
  <c r="E18" i="4"/>
  <c r="E18" i="2"/>
  <c r="E19" i="3"/>
  <c r="E18" i="3"/>
  <c r="E21" i="3"/>
  <c r="E20" i="3"/>
  <c r="D21" i="2"/>
  <c r="D20" i="2"/>
  <c r="E21" i="2"/>
  <c r="E20" i="2"/>
  <c r="D20" i="4"/>
  <c r="F25" i="4" l="1"/>
  <c r="G27" i="4"/>
  <c r="F26" i="4"/>
  <c r="G25" i="4"/>
  <c r="I31" i="1"/>
  <c r="H31" i="1"/>
  <c r="G31" i="1"/>
  <c r="F31" i="1"/>
  <c r="C22" i="1"/>
  <c r="G5" i="1"/>
  <c r="F5" i="1"/>
  <c r="E23" i="1"/>
  <c r="E27" i="1" s="1"/>
  <c r="C22" i="3"/>
  <c r="D21" i="3"/>
  <c r="D22" i="4" l="1"/>
  <c r="G22" i="4" s="1"/>
  <c r="C22" i="4"/>
  <c r="D21" i="4"/>
  <c r="G22" i="3"/>
  <c r="D20" i="3"/>
  <c r="D22" i="2"/>
  <c r="C22" i="2"/>
  <c r="F22" i="3" l="1"/>
  <c r="G28" i="2" l="1"/>
  <c r="F28" i="2"/>
  <c r="G36" i="1"/>
  <c r="F36" i="1"/>
  <c r="D21" i="1"/>
  <c r="D20" i="1"/>
  <c r="E17" i="1" l="1"/>
  <c r="E16" i="1"/>
  <c r="E6" i="1" l="1"/>
  <c r="G22" i="1" l="1"/>
  <c r="F22" i="1"/>
  <c r="G7" i="1"/>
  <c r="F35" i="2"/>
  <c r="G8" i="8"/>
  <c r="F5" i="8"/>
  <c r="G5" i="8" s="1"/>
  <c r="F6" i="8"/>
  <c r="G6" i="8" s="1"/>
  <c r="F7" i="8"/>
  <c r="G7" i="8" s="1"/>
  <c r="F8" i="8"/>
  <c r="F9" i="8"/>
  <c r="G9" i="8" s="1"/>
  <c r="F10" i="8"/>
  <c r="G10" i="8" s="1"/>
  <c r="F11" i="8"/>
  <c r="G11" i="8" s="1"/>
  <c r="F12" i="8"/>
  <c r="G12" i="8" s="1"/>
  <c r="F13" i="8"/>
  <c r="G13" i="8" s="1"/>
  <c r="F3" i="8"/>
  <c r="G3" i="8" s="1"/>
  <c r="C4" i="8"/>
  <c r="D4" i="6"/>
  <c r="D5" i="6"/>
  <c r="D6" i="6"/>
  <c r="D7" i="6"/>
  <c r="D8" i="6"/>
  <c r="D9" i="6"/>
  <c r="D10" i="6"/>
  <c r="D11" i="6"/>
  <c r="D12" i="6"/>
  <c r="D13" i="6"/>
  <c r="D14" i="6"/>
  <c r="D15" i="6"/>
  <c r="D16" i="6"/>
  <c r="D17" i="6"/>
  <c r="D18" i="6"/>
  <c r="D19" i="6"/>
  <c r="D20" i="6"/>
  <c r="D21" i="6"/>
  <c r="D22" i="6"/>
  <c r="D23" i="6"/>
  <c r="D24" i="6"/>
  <c r="D25" i="6"/>
  <c r="D26" i="6"/>
  <c r="D27" i="6"/>
  <c r="D28" i="6"/>
  <c r="D29" i="6"/>
  <c r="D30" i="6"/>
  <c r="D3" i="6"/>
  <c r="H3" i="6"/>
  <c r="G6" i="4"/>
  <c r="G7" i="4"/>
  <c r="G8" i="4"/>
  <c r="G9" i="4"/>
  <c r="G10" i="4"/>
  <c r="G11" i="4"/>
  <c r="G12" i="4"/>
  <c r="G13" i="4"/>
  <c r="G14" i="4"/>
  <c r="G15" i="4"/>
  <c r="G16" i="4"/>
  <c r="G17" i="4"/>
  <c r="G23" i="4"/>
  <c r="G26" i="4"/>
  <c r="G28" i="4"/>
  <c r="G30" i="4"/>
  <c r="G31" i="4"/>
  <c r="G32" i="4"/>
  <c r="G33" i="4"/>
  <c r="G34" i="4"/>
  <c r="G35" i="4"/>
  <c r="G36" i="4"/>
  <c r="G37" i="4"/>
  <c r="G38" i="4"/>
  <c r="G39" i="4"/>
  <c r="G40" i="4"/>
  <c r="G41" i="4"/>
  <c r="G42" i="4"/>
  <c r="G43" i="4"/>
  <c r="G44" i="4"/>
  <c r="G45" i="4"/>
  <c r="F6" i="4"/>
  <c r="F7" i="4"/>
  <c r="F8" i="4"/>
  <c r="F9" i="4"/>
  <c r="F10" i="4"/>
  <c r="F11" i="4"/>
  <c r="F12" i="4"/>
  <c r="F13" i="4"/>
  <c r="F14" i="4"/>
  <c r="F15" i="4"/>
  <c r="F16" i="4"/>
  <c r="F17" i="4"/>
  <c r="F23" i="4"/>
  <c r="F27" i="4"/>
  <c r="F28" i="4"/>
  <c r="F30" i="4"/>
  <c r="F31" i="4"/>
  <c r="F32" i="4"/>
  <c r="F33" i="4"/>
  <c r="F34" i="4"/>
  <c r="F35" i="4"/>
  <c r="F36" i="4"/>
  <c r="F37" i="4"/>
  <c r="F38" i="4"/>
  <c r="F39" i="4"/>
  <c r="F40" i="4"/>
  <c r="F41" i="4"/>
  <c r="F42" i="4"/>
  <c r="F43" i="4"/>
  <c r="F44" i="4"/>
  <c r="F45" i="4"/>
  <c r="G5" i="4"/>
  <c r="F5" i="4"/>
  <c r="G6" i="3"/>
  <c r="G7" i="3"/>
  <c r="G8" i="3"/>
  <c r="G9" i="3"/>
  <c r="G10" i="3"/>
  <c r="G11" i="3"/>
  <c r="G12" i="3"/>
  <c r="G13" i="3"/>
  <c r="G14" i="3"/>
  <c r="G15" i="3"/>
  <c r="G16" i="3"/>
  <c r="G17" i="3"/>
  <c r="G23" i="3"/>
  <c r="G24" i="3"/>
  <c r="G26" i="3"/>
  <c r="G27" i="3"/>
  <c r="G28" i="3"/>
  <c r="G31" i="3"/>
  <c r="G32" i="3"/>
  <c r="G33" i="3"/>
  <c r="G34" i="3"/>
  <c r="G35" i="3"/>
  <c r="G36" i="3"/>
  <c r="G37" i="3"/>
  <c r="G38" i="3"/>
  <c r="G39" i="3"/>
  <c r="G40" i="3"/>
  <c r="G41" i="3"/>
  <c r="G42" i="3"/>
  <c r="G43" i="3"/>
  <c r="G44" i="3"/>
  <c r="G45" i="3"/>
  <c r="F6" i="3"/>
  <c r="F7" i="3"/>
  <c r="F8" i="3"/>
  <c r="F9" i="3"/>
  <c r="F10" i="3"/>
  <c r="F11" i="3"/>
  <c r="F12" i="3"/>
  <c r="F13" i="3"/>
  <c r="F14" i="3"/>
  <c r="F15" i="3"/>
  <c r="F16" i="3"/>
  <c r="F17" i="3"/>
  <c r="F23" i="3"/>
  <c r="F24" i="3"/>
  <c r="F26" i="3"/>
  <c r="F27" i="3"/>
  <c r="F28" i="3"/>
  <c r="F31" i="3"/>
  <c r="F32" i="3"/>
  <c r="F33" i="3"/>
  <c r="F34" i="3"/>
  <c r="F35" i="3"/>
  <c r="F36" i="3"/>
  <c r="F37" i="3"/>
  <c r="F38" i="3"/>
  <c r="F39" i="3"/>
  <c r="F40" i="3"/>
  <c r="F41" i="3"/>
  <c r="F42" i="3"/>
  <c r="F43" i="3"/>
  <c r="F44" i="3"/>
  <c r="F45" i="3"/>
  <c r="G5" i="3"/>
  <c r="F5" i="3"/>
  <c r="G6" i="2"/>
  <c r="G7" i="2"/>
  <c r="G8" i="2"/>
  <c r="G9" i="2"/>
  <c r="G10" i="2"/>
  <c r="G11" i="2"/>
  <c r="G12" i="2"/>
  <c r="G13" i="2"/>
  <c r="G14" i="2"/>
  <c r="G15" i="2"/>
  <c r="G16" i="2"/>
  <c r="G17" i="2"/>
  <c r="G23" i="2"/>
  <c r="G24" i="2"/>
  <c r="G26" i="2"/>
  <c r="G27" i="2"/>
  <c r="G30" i="2"/>
  <c r="G31" i="2"/>
  <c r="G32" i="2"/>
  <c r="G33" i="2"/>
  <c r="G34" i="2"/>
  <c r="G35" i="2"/>
  <c r="G36" i="2"/>
  <c r="G37" i="2"/>
  <c r="G38" i="2"/>
  <c r="G39" i="2"/>
  <c r="G40" i="2"/>
  <c r="G41" i="2"/>
  <c r="G42" i="2"/>
  <c r="G43" i="2"/>
  <c r="G44" i="2"/>
  <c r="G45" i="2"/>
  <c r="F6" i="2"/>
  <c r="F7" i="2"/>
  <c r="F8" i="2"/>
  <c r="F9" i="2"/>
  <c r="F10" i="2"/>
  <c r="F11" i="2"/>
  <c r="F12" i="2"/>
  <c r="F13" i="2"/>
  <c r="F14" i="2"/>
  <c r="F15" i="2"/>
  <c r="F16" i="2"/>
  <c r="F17" i="2"/>
  <c r="F23" i="2"/>
  <c r="F24" i="2"/>
  <c r="F26" i="2"/>
  <c r="F27" i="2"/>
  <c r="F30" i="2"/>
  <c r="F31" i="2"/>
  <c r="F32" i="2"/>
  <c r="F33" i="2"/>
  <c r="F34" i="2"/>
  <c r="F36" i="2"/>
  <c r="F37" i="2"/>
  <c r="F38" i="2"/>
  <c r="F39" i="2"/>
  <c r="F40" i="2"/>
  <c r="F41" i="2"/>
  <c r="F42" i="2"/>
  <c r="F43" i="2"/>
  <c r="F44" i="2"/>
  <c r="F45" i="2"/>
  <c r="G5" i="2"/>
  <c r="F5" i="2"/>
  <c r="F14" i="1"/>
  <c r="G8" i="1"/>
  <c r="G9" i="1"/>
  <c r="G10" i="1"/>
  <c r="G11" i="1"/>
  <c r="G12" i="1"/>
  <c r="G13" i="1"/>
  <c r="G14" i="1"/>
  <c r="G15" i="1"/>
  <c r="G16" i="1"/>
  <c r="G17" i="1"/>
  <c r="G23" i="1"/>
  <c r="G24" i="1"/>
  <c r="G25" i="1"/>
  <c r="G26" i="1"/>
  <c r="G32" i="1"/>
  <c r="G33" i="1"/>
  <c r="G34" i="1"/>
  <c r="G35" i="1"/>
  <c r="G37" i="1"/>
  <c r="G38" i="1"/>
  <c r="G39" i="1"/>
  <c r="G40" i="1"/>
  <c r="G41" i="1"/>
  <c r="G42" i="1"/>
  <c r="G43" i="1"/>
  <c r="G44" i="1"/>
  <c r="G45" i="1"/>
  <c r="G46" i="1"/>
  <c r="G47" i="1"/>
  <c r="G48" i="1"/>
  <c r="G49" i="1"/>
  <c r="G50" i="1"/>
  <c r="G51" i="1"/>
  <c r="G6" i="1"/>
  <c r="F6" i="1"/>
  <c r="F7" i="1"/>
  <c r="F8" i="1"/>
  <c r="F9" i="1"/>
  <c r="F10" i="1"/>
  <c r="F11" i="1"/>
  <c r="F12" i="1"/>
  <c r="F13" i="1"/>
  <c r="F15" i="1"/>
  <c r="F16" i="1"/>
  <c r="F17" i="1"/>
  <c r="F23" i="1"/>
  <c r="F24" i="1"/>
  <c r="F25" i="1"/>
  <c r="F26" i="1"/>
  <c r="F32" i="1"/>
  <c r="F33" i="1"/>
  <c r="F34" i="1"/>
  <c r="F35" i="1"/>
  <c r="F37" i="1"/>
  <c r="F38" i="1"/>
  <c r="F39" i="1"/>
  <c r="F40" i="1"/>
  <c r="F41" i="1"/>
  <c r="F42" i="1"/>
  <c r="F43" i="1"/>
  <c r="F44" i="1"/>
  <c r="F45" i="1"/>
  <c r="F46" i="1"/>
  <c r="F47" i="1"/>
  <c r="F48" i="1"/>
  <c r="F49" i="1"/>
  <c r="F50" i="1"/>
  <c r="F51" i="1"/>
  <c r="I5" i="8"/>
  <c r="I6" i="8"/>
  <c r="I7" i="8"/>
  <c r="I8" i="8"/>
  <c r="I9" i="8"/>
  <c r="I10" i="8"/>
  <c r="I11" i="8"/>
  <c r="I12" i="8"/>
  <c r="I13" i="8"/>
  <c r="H5" i="8"/>
  <c r="H6" i="8"/>
  <c r="H7" i="8"/>
  <c r="H8" i="8"/>
  <c r="H9" i="8"/>
  <c r="H10" i="8"/>
  <c r="H11" i="8"/>
  <c r="H12" i="8"/>
  <c r="H13" i="8"/>
  <c r="I3" i="8"/>
  <c r="H3" i="8"/>
  <c r="D4" i="8"/>
  <c r="F4" i="8" s="1"/>
  <c r="G4" i="8" s="1"/>
  <c r="E4" i="8"/>
  <c r="L55" i="6"/>
  <c r="L54" i="6"/>
  <c r="L53" i="6"/>
  <c r="L52" i="6"/>
  <c r="L51" i="6"/>
  <c r="L50" i="6"/>
  <c r="L49" i="6"/>
  <c r="L48" i="6"/>
  <c r="L47" i="6"/>
  <c r="L46" i="6"/>
  <c r="L45" i="6"/>
  <c r="L44" i="6"/>
  <c r="L43" i="6"/>
  <c r="L42" i="6"/>
  <c r="L41" i="6"/>
  <c r="L40" i="6"/>
  <c r="L39" i="6"/>
  <c r="L38" i="6"/>
  <c r="L37" i="6"/>
  <c r="L36" i="6"/>
  <c r="L35" i="6"/>
  <c r="L34" i="6"/>
  <c r="L33" i="6"/>
  <c r="L32" i="6"/>
  <c r="L31" i="6"/>
  <c r="L30" i="6"/>
  <c r="H30" i="6"/>
  <c r="L29" i="6"/>
  <c r="H29" i="6"/>
  <c r="L28" i="6"/>
  <c r="H28" i="6"/>
  <c r="L27" i="6"/>
  <c r="H27" i="6"/>
  <c r="L26" i="6"/>
  <c r="H26" i="6"/>
  <c r="L25" i="6"/>
  <c r="H25" i="6"/>
  <c r="L24" i="6"/>
  <c r="H24" i="6"/>
  <c r="L23" i="6"/>
  <c r="H23" i="6"/>
  <c r="L22" i="6"/>
  <c r="H22" i="6"/>
  <c r="L21" i="6"/>
  <c r="H21" i="6"/>
  <c r="L20" i="6"/>
  <c r="H20" i="6"/>
  <c r="L19" i="6"/>
  <c r="H19" i="6"/>
  <c r="L18" i="6"/>
  <c r="H18" i="6"/>
  <c r="L17" i="6"/>
  <c r="H17" i="6"/>
  <c r="L16" i="6"/>
  <c r="H16" i="6"/>
  <c r="L15" i="6"/>
  <c r="H15" i="6"/>
  <c r="L14" i="6"/>
  <c r="H14" i="6"/>
  <c r="L13" i="6"/>
  <c r="H13" i="6"/>
  <c r="L12" i="6"/>
  <c r="H12" i="6"/>
  <c r="L11" i="6"/>
  <c r="H11" i="6"/>
  <c r="L10" i="6"/>
  <c r="H10" i="6"/>
  <c r="L9" i="6"/>
  <c r="H9" i="6"/>
  <c r="L8" i="6"/>
  <c r="H8" i="6"/>
  <c r="L7" i="6"/>
  <c r="H7" i="6"/>
  <c r="L6" i="6"/>
  <c r="H6" i="6"/>
  <c r="L5" i="6"/>
  <c r="H5" i="6"/>
  <c r="L4" i="6"/>
  <c r="H4" i="6"/>
  <c r="L3" i="6"/>
  <c r="H4" i="8" l="1"/>
  <c r="I4" i="8"/>
  <c r="E14" i="1"/>
  <c r="I14" i="1" s="1"/>
  <c r="E13" i="1"/>
  <c r="E5" i="1"/>
  <c r="E22" i="1" s="1"/>
  <c r="E7" i="2"/>
  <c r="I35" i="2"/>
  <c r="I43" i="4"/>
  <c r="I42" i="4"/>
  <c r="H45" i="4"/>
  <c r="E26" i="1"/>
  <c r="E25" i="1"/>
  <c r="E24" i="1"/>
  <c r="E30" i="1" s="1"/>
  <c r="I16" i="1"/>
  <c r="E15" i="1"/>
  <c r="H15" i="1" s="1"/>
  <c r="E12" i="1"/>
  <c r="E21" i="1" s="1"/>
  <c r="E11" i="1"/>
  <c r="E19" i="1" s="1"/>
  <c r="E10" i="1"/>
  <c r="E9" i="1"/>
  <c r="I9" i="1" s="1"/>
  <c r="E8" i="1"/>
  <c r="E7" i="1"/>
  <c r="H6" i="1"/>
  <c r="E5" i="2"/>
  <c r="I9" i="3"/>
  <c r="H27" i="3"/>
  <c r="I45" i="3"/>
  <c r="I32" i="3"/>
  <c r="I33" i="3"/>
  <c r="I34" i="3"/>
  <c r="I35" i="3"/>
  <c r="I36" i="3"/>
  <c r="I37" i="3"/>
  <c r="I38" i="3"/>
  <c r="I39" i="3"/>
  <c r="I40" i="3"/>
  <c r="I41" i="3"/>
  <c r="I42" i="3"/>
  <c r="I43" i="3"/>
  <c r="I44" i="3"/>
  <c r="I23" i="3"/>
  <c r="I26" i="3"/>
  <c r="I27" i="3"/>
  <c r="I31" i="3"/>
  <c r="H33" i="3"/>
  <c r="H36" i="3"/>
  <c r="H37" i="3"/>
  <c r="H38" i="3"/>
  <c r="H39" i="3"/>
  <c r="H42" i="3"/>
  <c r="H41" i="3"/>
  <c r="H43" i="3"/>
  <c r="H44" i="3"/>
  <c r="H45" i="3"/>
  <c r="E17" i="3"/>
  <c r="H17" i="3" s="1"/>
  <c r="E16" i="3"/>
  <c r="I16" i="3" s="1"/>
  <c r="E15" i="3"/>
  <c r="H15" i="3" s="1"/>
  <c r="E14" i="3"/>
  <c r="I14" i="3" s="1"/>
  <c r="E13" i="3"/>
  <c r="I13" i="3" s="1"/>
  <c r="E12" i="3"/>
  <c r="E11" i="3"/>
  <c r="E8" i="3"/>
  <c r="E7" i="3"/>
  <c r="I7" i="3" s="1"/>
  <c r="E6" i="3"/>
  <c r="I6" i="3" s="1"/>
  <c r="E5" i="3"/>
  <c r="E22" i="3" s="1"/>
  <c r="H10" i="3"/>
  <c r="E8" i="4"/>
  <c r="H27" i="4"/>
  <c r="I31" i="4"/>
  <c r="I32" i="4"/>
  <c r="I33" i="4"/>
  <c r="I34" i="4"/>
  <c r="I35" i="4"/>
  <c r="I36" i="4"/>
  <c r="I37" i="4"/>
  <c r="I38" i="4"/>
  <c r="I39" i="4"/>
  <c r="I40" i="4"/>
  <c r="I41" i="4"/>
  <c r="I23" i="4"/>
  <c r="I26" i="4"/>
  <c r="I27" i="4"/>
  <c r="I30" i="4"/>
  <c r="H23" i="4"/>
  <c r="H26" i="4"/>
  <c r="H30" i="4"/>
  <c r="H31" i="4"/>
  <c r="H32" i="4"/>
  <c r="H33" i="4"/>
  <c r="H34" i="4"/>
  <c r="H35" i="4"/>
  <c r="H36" i="4"/>
  <c r="H37" i="4"/>
  <c r="H38" i="4"/>
  <c r="H39" i="4"/>
  <c r="H40" i="4"/>
  <c r="I45" i="4"/>
  <c r="I44" i="4"/>
  <c r="H44" i="4"/>
  <c r="H43" i="4"/>
  <c r="E17" i="4"/>
  <c r="H17" i="4" s="1"/>
  <c r="E16" i="4"/>
  <c r="I16" i="4" s="1"/>
  <c r="E15" i="4"/>
  <c r="I15" i="4" s="1"/>
  <c r="E14" i="4"/>
  <c r="I14" i="4" s="1"/>
  <c r="E13" i="4"/>
  <c r="H13" i="4" s="1"/>
  <c r="E11" i="4"/>
  <c r="E12" i="4"/>
  <c r="E10" i="4"/>
  <c r="H10" i="4" s="1"/>
  <c r="E9" i="4"/>
  <c r="H9" i="4" s="1"/>
  <c r="E7" i="4"/>
  <c r="I7" i="4" s="1"/>
  <c r="E6" i="4"/>
  <c r="E5" i="4"/>
  <c r="E22" i="4" s="1"/>
  <c r="I8" i="3" l="1"/>
  <c r="I22" i="1"/>
  <c r="H22" i="1"/>
  <c r="I22" i="3"/>
  <c r="H22" i="3"/>
  <c r="E20" i="1"/>
  <c r="E18" i="1"/>
  <c r="H11" i="3"/>
  <c r="H12" i="3"/>
  <c r="I8" i="4"/>
  <c r="H20" i="4"/>
  <c r="H12" i="4"/>
  <c r="I21" i="4"/>
  <c r="H21" i="4"/>
  <c r="H11" i="1"/>
  <c r="H21" i="1"/>
  <c r="I21" i="1"/>
  <c r="I23" i="1"/>
  <c r="E29" i="1"/>
  <c r="I8" i="1"/>
  <c r="F22" i="4"/>
  <c r="H8" i="4"/>
  <c r="H14" i="3"/>
  <c r="I5" i="1"/>
  <c r="H5" i="1"/>
  <c r="H7" i="1"/>
  <c r="I7" i="1"/>
  <c r="H16" i="4"/>
  <c r="I22" i="4"/>
  <c r="H11" i="4"/>
  <c r="H14" i="4"/>
  <c r="I13" i="4"/>
  <c r="H7" i="4"/>
  <c r="I12" i="4"/>
  <c r="H15" i="4"/>
  <c r="H22" i="4"/>
  <c r="I11" i="4"/>
  <c r="I10" i="4"/>
  <c r="I17" i="4"/>
  <c r="I9" i="4"/>
  <c r="I11" i="3"/>
  <c r="H9" i="3"/>
  <c r="I10" i="3"/>
  <c r="I12" i="3"/>
  <c r="H8" i="3"/>
  <c r="I15" i="3"/>
  <c r="H13" i="3"/>
  <c r="H16" i="3"/>
  <c r="H7" i="3"/>
  <c r="I17" i="3"/>
  <c r="H6" i="3"/>
  <c r="H23" i="1"/>
  <c r="I6" i="1"/>
  <c r="H16" i="1"/>
  <c r="H8" i="1"/>
  <c r="H14" i="1"/>
  <c r="H9" i="1"/>
  <c r="I11" i="1"/>
  <c r="I15" i="1"/>
  <c r="I7" i="2"/>
  <c r="H7" i="2"/>
  <c r="H21" i="3" l="1"/>
  <c r="I21" i="3"/>
  <c r="I20" i="3"/>
  <c r="H20" i="3"/>
  <c r="I29" i="1"/>
  <c r="H29" i="1"/>
  <c r="H30" i="1"/>
  <c r="I30" i="1"/>
  <c r="I20" i="1"/>
  <c r="H20" i="1"/>
  <c r="I20" i="4"/>
  <c r="G22" i="2" l="1"/>
  <c r="E17" i="2"/>
  <c r="E16" i="2"/>
  <c r="E14" i="2"/>
  <c r="E13" i="2"/>
  <c r="E15" i="2"/>
  <c r="E12" i="2"/>
  <c r="E19" i="2" s="1"/>
  <c r="E11" i="2"/>
  <c r="E10" i="2"/>
  <c r="E9" i="2"/>
  <c r="E8" i="2"/>
  <c r="E6" i="2"/>
  <c r="H5" i="2"/>
  <c r="I20" i="2" l="1"/>
  <c r="I21" i="2"/>
  <c r="H21" i="2"/>
  <c r="H20" i="2"/>
  <c r="H12" i="2"/>
  <c r="I12" i="2"/>
  <c r="H15" i="2"/>
  <c r="I15" i="2"/>
  <c r="H13" i="2"/>
  <c r="I13" i="2"/>
  <c r="H8" i="2"/>
  <c r="I8" i="2"/>
  <c r="H6" i="2"/>
  <c r="I6" i="2"/>
  <c r="I14" i="2"/>
  <c r="H14" i="2"/>
  <c r="H16" i="2"/>
  <c r="I16" i="2"/>
  <c r="I9" i="2"/>
  <c r="H9" i="2"/>
  <c r="H17" i="2"/>
  <c r="I17" i="2"/>
  <c r="I10" i="2"/>
  <c r="H10" i="2"/>
  <c r="I11" i="2"/>
  <c r="H11" i="2"/>
  <c r="I5" i="2"/>
  <c r="H22" i="2" l="1"/>
  <c r="I22" i="2"/>
  <c r="I48" i="1" l="1"/>
  <c r="I47" i="1"/>
  <c r="I49" i="1"/>
  <c r="I50" i="1"/>
  <c r="I51" i="1"/>
  <c r="I46" i="1"/>
  <c r="I45" i="1"/>
  <c r="I44" i="1"/>
  <c r="I41" i="1"/>
  <c r="I24" i="1"/>
  <c r="I33" i="1"/>
  <c r="I34" i="1"/>
  <c r="I35" i="1"/>
  <c r="I37" i="1"/>
  <c r="I38" i="1"/>
  <c r="I39" i="1"/>
  <c r="I40" i="1"/>
  <c r="I42" i="1"/>
  <c r="I43" i="1"/>
  <c r="I25" i="1"/>
  <c r="I26" i="1"/>
  <c r="I32" i="1"/>
  <c r="H45" i="1"/>
  <c r="H46" i="1"/>
  <c r="H47" i="1"/>
  <c r="H48" i="1"/>
  <c r="H49" i="1"/>
  <c r="H50" i="1"/>
  <c r="H51" i="1"/>
  <c r="H39" i="1"/>
  <c r="H40" i="1"/>
  <c r="H41" i="1"/>
  <c r="H42" i="1"/>
  <c r="H43" i="1"/>
  <c r="H44" i="1"/>
  <c r="H34" i="1"/>
  <c r="H35" i="1"/>
  <c r="H37" i="1"/>
  <c r="H38" i="1"/>
  <c r="H25" i="1"/>
  <c r="H26" i="1"/>
  <c r="H32" i="1"/>
  <c r="H33" i="1"/>
  <c r="H24" i="1"/>
  <c r="H13" i="1"/>
  <c r="H12" i="1"/>
  <c r="H10" i="1"/>
  <c r="H41" i="4" l="1"/>
  <c r="H42" i="4"/>
  <c r="I6" i="4"/>
  <c r="H6" i="4"/>
  <c r="I5" i="4"/>
  <c r="H5" i="4"/>
  <c r="H40" i="3"/>
  <c r="H35" i="3"/>
  <c r="H34" i="3"/>
  <c r="H32" i="3"/>
  <c r="H31" i="3"/>
  <c r="H26" i="3"/>
  <c r="H23" i="3"/>
  <c r="I5" i="3"/>
  <c r="H5" i="3"/>
  <c r="H30" i="2"/>
  <c r="I30" i="2"/>
  <c r="I45" i="2"/>
  <c r="H45" i="2"/>
  <c r="I44" i="2"/>
  <c r="H44" i="2"/>
  <c r="I43" i="2"/>
  <c r="H43" i="2"/>
  <c r="I42" i="2"/>
  <c r="H42" i="2"/>
  <c r="I41" i="2"/>
  <c r="H41" i="2"/>
  <c r="I40" i="2"/>
  <c r="H40" i="2"/>
  <c r="I39" i="2"/>
  <c r="H39" i="2"/>
  <c r="I38" i="2"/>
  <c r="H38" i="2"/>
  <c r="I37" i="2"/>
  <c r="H37" i="2"/>
  <c r="I36" i="2"/>
  <c r="H36" i="2"/>
  <c r="H35" i="2"/>
  <c r="I34" i="2"/>
  <c r="H34" i="2"/>
  <c r="I33" i="2"/>
  <c r="H33" i="2"/>
  <c r="I32" i="2"/>
  <c r="H32" i="2"/>
  <c r="I31" i="2"/>
  <c r="H31" i="2"/>
  <c r="I27" i="2"/>
  <c r="H27" i="2"/>
  <c r="I26" i="2"/>
  <c r="H26" i="2"/>
  <c r="I23" i="2"/>
  <c r="H23" i="2"/>
  <c r="I10" i="1" l="1"/>
  <c r="I12" i="1"/>
  <c r="I13" i="1"/>
  <c r="I17" i="1"/>
  <c r="H17" i="1"/>
</calcChain>
</file>

<file path=xl/sharedStrings.xml><?xml version="1.0" encoding="utf-8"?>
<sst xmlns="http://schemas.openxmlformats.org/spreadsheetml/2006/main" count="538" uniqueCount="185">
  <si>
    <t>خدمت</t>
  </si>
  <si>
    <t>پزشکان، دندان پزشکان متخصص و پزشک عمومی دارای مدرک دکتری تخصصی در علوم پایه(MD-PHD)</t>
  </si>
  <si>
    <t>پزشکان متخصص روان پزشکی</t>
  </si>
  <si>
    <t>پزشکان فوق تخصص روان پزشکی و دوره تکمیلی تخصصی( فلوشیپ) روانپزشکی</t>
  </si>
  <si>
    <t>کارشناس ارشد پروانه دار</t>
  </si>
  <si>
    <t>کارشناس پروانه دار</t>
  </si>
  <si>
    <t>جزء حرفه ای</t>
  </si>
  <si>
    <t>پزشکان و اعضای هیئت علمی تمام وقت در بخش های بستری</t>
  </si>
  <si>
    <t>پزشکان و اعضای هیئت علمی تمام وقت در بخش های سرپایی</t>
  </si>
  <si>
    <t xml:space="preserve">خدمات دندان پزشکی </t>
  </si>
  <si>
    <t>جزء فنی</t>
  </si>
  <si>
    <t>جزء فنی خدمات دندان پزشکی</t>
  </si>
  <si>
    <t>جزء مواد و لوازم مصرفی دندان پزشکی</t>
  </si>
  <si>
    <t>یک تختی</t>
  </si>
  <si>
    <t>دو تختی</t>
  </si>
  <si>
    <t>سه تختی و بیشتر</t>
  </si>
  <si>
    <t>هزینه همراه</t>
  </si>
  <si>
    <t>بخش نوزادان سالم</t>
  </si>
  <si>
    <t>بخش نوزادان بیمار سطح دوم</t>
  </si>
  <si>
    <t xml:space="preserve">بخش بیماران روانی </t>
  </si>
  <si>
    <t>بخش بیماران سوختگی</t>
  </si>
  <si>
    <t>بخش مراقبت های بینابینی(intermediate ICU) مانند بخش سکته حاد مغزی(SCU)</t>
  </si>
  <si>
    <t>بخش مراقبت های ویژه قلبی(CCU)</t>
  </si>
  <si>
    <t>بخش پشتیبان مراقبت های ویژه قلبی</t>
  </si>
  <si>
    <t>بخش مراقبت های ویژه عمومی، کودکان، نوزادان و ریه</t>
  </si>
  <si>
    <t>بخش مراقبت های ویژه سوختگی</t>
  </si>
  <si>
    <t>هتلینگ</t>
  </si>
  <si>
    <t>گروه خدمتی</t>
  </si>
  <si>
    <t>ویزیت سرپایی( غیر تمام وقت)</t>
  </si>
  <si>
    <t>ویزیت سرپایی( تمام وقت)</t>
  </si>
  <si>
    <t>تبصره: *****</t>
  </si>
  <si>
    <t>جزء حرفه ای کلیه خدمات و مراقبت های سلامت مندرج در کتاب ارزش نسبی</t>
  </si>
  <si>
    <t xml:space="preserve">جزء حرفه ای برای خدمات با علامت # و کد 7 و 8 </t>
  </si>
  <si>
    <t>جزء فنی # دار و کد های 7 و 8</t>
  </si>
  <si>
    <t>جزء فنی # دار و کد های 8 و 9</t>
  </si>
  <si>
    <t>ویزیت سرپایی</t>
  </si>
  <si>
    <t>تعرفه 1403</t>
  </si>
  <si>
    <t>تعرفه 1404</t>
  </si>
  <si>
    <t>خدمات دندان پزشکی تمام وقت</t>
  </si>
  <si>
    <r>
      <t>پزشکان غیر تمام وقت و کارشناس و کارشناس ارشد پروانه دار و دکتری تخصصی</t>
    </r>
    <r>
      <rPr>
        <b/>
        <sz val="11"/>
        <color theme="1"/>
        <rFont val="B Nazanin"/>
        <charset val="178"/>
      </rPr>
      <t>( کای پایه)</t>
    </r>
  </si>
  <si>
    <t>ویزیت پزشکان عمومی</t>
  </si>
  <si>
    <t>ویزیت دندان پزشکان عمومی</t>
  </si>
  <si>
    <t>ویزیت دکتری تخصصی در علوم پایه(PHD) پروانه دار</t>
  </si>
  <si>
    <t>ویزیت پزشکان متخصص</t>
  </si>
  <si>
    <t>ویزیت دندان پزشکان متخصص</t>
  </si>
  <si>
    <t>ویزیت پزشک عمومی دارای مدرک تخصصی در علوم پایه(MD-PhD)</t>
  </si>
  <si>
    <t>ویزیت پزشکان فوق تخصص</t>
  </si>
  <si>
    <t>ویزیت دوره تکمیلی تخصصی (فلوشیپ)</t>
  </si>
  <si>
    <t>ویزیت پزشکان متخصص روان پزشکی</t>
  </si>
  <si>
    <t>ویزیت کارشناس ارشد پروانه دار</t>
  </si>
  <si>
    <t>ویزیت کارشناس پروانه دار</t>
  </si>
  <si>
    <t>ویزیت پزشکان فوق تخصص روان پزشکی</t>
  </si>
  <si>
    <t>ویزیت دوره تکمیلی تخصصی( فلوشیپ) روانپزشکی</t>
  </si>
  <si>
    <t>جزء فنی # دار و کد 7</t>
  </si>
  <si>
    <t>تعرفه1403</t>
  </si>
  <si>
    <t>تعرفه1404</t>
  </si>
  <si>
    <t>تعریف شده از سال 1404</t>
  </si>
  <si>
    <t>پزشکان فوق تخصص، دوره تکمیلی تخصصی( فلوشیپ)</t>
  </si>
  <si>
    <t>شایان ذکر است که در RVU 1404 جزء فنی خدمات # دار و بدون # یکسان شده است. همچنین هشتگ کدهای 1 تا 6 حذف گردیده است.</t>
  </si>
  <si>
    <r>
      <t xml:space="preserve">پزشکان عمومی با سابقه بیش از پانزده سال کار بالینی </t>
    </r>
    <r>
      <rPr>
        <b/>
        <sz val="11"/>
        <color theme="1"/>
        <rFont val="B Nazanin"/>
        <charset val="178"/>
      </rPr>
      <t>(کد978005)</t>
    </r>
  </si>
  <si>
    <r>
      <t xml:space="preserve">پزشکان عمومی با سابقه بیش از پانزده سال کار بالینی </t>
    </r>
    <r>
      <rPr>
        <b/>
        <sz val="11"/>
        <color theme="1"/>
        <rFont val="B Nazanin"/>
        <charset val="178"/>
      </rPr>
      <t>(کد 978005)</t>
    </r>
  </si>
  <si>
    <t>بسته خدمات و مراقبت پرستاری در بخش عمومی (انواع بخش‌های داخلی و جراحی)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</si>
  <si>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</si>
  <si>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</si>
  <si>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</si>
  <si>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</si>
  <si>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</si>
  <si>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مراقبت بینابینی (Intermediate ICU) به ازای هر روز اقامت</t>
  </si>
  <si>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</si>
  <si>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</si>
  <si>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کودکان، نوزادان و ریه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</si>
  <si>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</si>
  <si>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</si>
  <si>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</si>
  <si>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جراحی و کت لب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</si>
  <si>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</si>
  <si>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ریکاوری به ازای هر بیمار (این کد فقط با کدهای 903565، 903566 و 903588 قابل گزارش و پرداخت است) (این کد برای کت لب قابل گزارش و پرداخت نیست)</t>
  </si>
  <si>
    <t>خدمات و مراقبت‌های ارائه شده در واحد (بلوک) زایمان به ازای هر زایمان واژینال</t>
  </si>
  <si>
    <t>خدمات و مراقبت‌های ارائه شده در واحد (بلوک) زایمان در مواردی که منجر به زایمان واژینال نمی‌گردد (زایمان به روش سزارین انجام می‌شود).</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</si>
  <si>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</si>
  <si>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و در مان مداوم جایگزینی کلیوی (CRRT) به ازای هر جلسه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</si>
  <si>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</si>
  <si>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تزریق خون و فرآورده‌های خونی (کدهای302340 تا 302355 و 302405 و 302410 کتاب ارزش نسبی) و شیمی‌درمانی سرپایی به ازای هر جلسه  
 و سایر تزریقات شامل صرفاً کدهای 900000 ، 900036 ، 900037، 900038 و 900040 کتاب ارزش نسبی، به ازای هر بیمار </t>
  </si>
  <si>
    <t>بسته خدمات و مراقبت پرستاری در خدمات اسکوپی‌های خارج از اتاق عمل، خدمت سنگ شکن، خدمات تصویربرداری تحت بیهوشی، خدمات درمان با اکسیژن پرفشار (Hyperbaric Oxygen Therapy) و درمان با تشنج‌زایی الکتریکی (ECT) به ازای هر بیمار</t>
  </si>
  <si>
    <t>بسته خدمات و مراقبت پرستاری در انجام هم‌زمان اندوسکوپی و کولونوسکوپی به ازای هر بیمار</t>
  </si>
  <si>
    <t>بسته خدمات و مراقبت پرستاری در خدمات پزشکی هسته‌‌ای و شتاب دهنده‌های خطی و خدمات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</si>
  <si>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</si>
  <si>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</si>
  <si>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</si>
  <si>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t>کد ملی</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</si>
  <si>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</si>
  <si>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</si>
  <si>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</si>
  <si>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</si>
  <si>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</si>
  <si>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</si>
  <si>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</si>
  <si>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</si>
  <si>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</si>
  <si>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</si>
  <si>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</si>
  <si>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</si>
  <si>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</si>
  <si>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</si>
  <si>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</si>
  <si>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</si>
  <si>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</si>
  <si>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</si>
  <si>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</si>
  <si>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</si>
  <si>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</si>
  <si>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</si>
  <si>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 xml:space="preserve">بسته خدمات و مراقبت پرستاری برای همودیالیز به ازای هر جلسه </t>
  </si>
  <si>
    <t xml:space="preserve">بسته خدمات و مراقبت پرستاری برای CRRT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</si>
  <si>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</si>
  <si>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</si>
  <si>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</si>
  <si>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</si>
  <si>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</si>
  <si>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ROP (کد 901947 کتاب ارزش نسبی) و تزریق ماده فارماکولوژیک داخل ویتره (کد 602275 کتاب ارزش نسبی)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</si>
  <si>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</si>
  <si>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</si>
  <si>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</si>
  <si>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</si>
  <si>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</si>
  <si>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</si>
  <si>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</si>
  <si>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</si>
  <si>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t>تعرفه پرستاری</t>
  </si>
  <si>
    <r>
      <rPr>
        <sz val="14"/>
        <rFont val="B Nazanin"/>
        <charset val="178"/>
      </rPr>
      <t xml:space="preserve"> تعرفه خدمات و مراقبت های پرستاری</t>
    </r>
    <r>
      <rPr>
        <b/>
        <sz val="14"/>
        <rFont val="B Nazanin"/>
        <charset val="178"/>
      </rPr>
      <t xml:space="preserve"> </t>
    </r>
    <r>
      <rPr>
        <b/>
        <sz val="16"/>
        <rFont val="B Nazanin"/>
        <charset val="178"/>
      </rPr>
      <t>1403</t>
    </r>
  </si>
  <si>
    <r>
      <rPr>
        <sz val="14"/>
        <color theme="1"/>
        <rFont val="B Nazanin"/>
        <charset val="178"/>
      </rPr>
      <t xml:space="preserve"> تعرفه خدمات و مراقبت های پرستاری</t>
    </r>
    <r>
      <rPr>
        <b/>
        <sz val="16"/>
        <color theme="1"/>
        <rFont val="B Nazanin"/>
        <charset val="178"/>
      </rPr>
      <t xml:space="preserve"> 1404</t>
    </r>
  </si>
  <si>
    <t>دولتی تمام وقت</t>
  </si>
  <si>
    <t xml:space="preserve">دولتی غیر تمام وقت </t>
  </si>
  <si>
    <t>عمومی غیر دولتی</t>
  </si>
  <si>
    <t>خیریه و موقوفه</t>
  </si>
  <si>
    <t>خصوصی</t>
  </si>
  <si>
    <t xml:space="preserve">جرء حرفه ای </t>
  </si>
  <si>
    <t>مواد مصرفی</t>
  </si>
  <si>
    <t>تعرفه 1402</t>
  </si>
  <si>
    <t>ویزیت دوره تکمیلی تخصصی (فلوشیپ) روان پزشکی</t>
  </si>
  <si>
    <t>میزان افزایش تعرفه 1404</t>
  </si>
  <si>
    <t>درصد افزایش تعرفه 1404</t>
  </si>
  <si>
    <t>میزان افزایش تعرفه 1403</t>
  </si>
  <si>
    <t>درصد افزایش تعرفه 1403</t>
  </si>
  <si>
    <t>بسته خدمات و مراقبت پرستاری در سطح (5) بهره‌مندی از درمان (تریاژ) به ازای هر بیمار</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</si>
  <si>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(این کد با کد 903565 قابل گزارش و پرداخت نمی‌باشد)</t>
  </si>
  <si>
    <t>بسته خدمات و مراقبت پرستاری برای ریکاوری به ازای هر بیمار (این کد فقط با کدهای 903565 و 903566 قابل گزارش و پرداخت است) (این کد برای کت لب قابل گزارش و پرداخت نیست)</t>
  </si>
  <si>
    <t>خدمات و مراقبت‌های ارائه شده در بلوک زایمان در مواردی که منجر به زایمان واژینال نمی‌گردد (زایمان به روش سزارین انجام می‌شود).</t>
  </si>
  <si>
    <t xml:space="preserve">بسته خدمات و مراقبت پرستاری برای همودیالیز و CRRT به ازای هر جلسه </t>
  </si>
  <si>
    <t xml:space="preserve">بسته خدمات و مراقبت پرستاری در بیماران تالاسمی و هموفیلی، تزریق خون و فرآورده‌های خونی (کدهای302340 تا 302355 کتاب ارزش نسبی) و شیمی‌درمانی سرپایی به ازای هر جلسه 
 و سایر تزریقات شامل صرفاً کدهای 900000 ، 900036 ، 900037، 900038 و 900040 کتاب ارزش نسبی، به ازای هر بیمار </t>
  </si>
  <si>
    <r>
      <rPr>
        <sz val="14"/>
        <rFont val="B Nazanin"/>
        <charset val="178"/>
      </rPr>
      <t xml:space="preserve"> تعرفه خدمات و مراقبت های پرستاری</t>
    </r>
    <r>
      <rPr>
        <b/>
        <sz val="14"/>
        <rFont val="B Nazanin"/>
        <charset val="178"/>
      </rPr>
      <t xml:space="preserve"> </t>
    </r>
    <r>
      <rPr>
        <b/>
        <sz val="16"/>
        <rFont val="B Nazanin"/>
        <charset val="178"/>
      </rPr>
      <t>1402</t>
    </r>
  </si>
  <si>
    <t>میزان افزایش تعرفه1404</t>
  </si>
  <si>
    <t>درصد افزایش تعرفه1404</t>
  </si>
  <si>
    <t>میزان افزایش تعرفه1403</t>
  </si>
  <si>
    <t>درصد افزایش تعرفه1403</t>
  </si>
  <si>
    <t xml:space="preserve">مقایسه تعرفه خدمات دندانپزشکی1402 و 1403 و 1404 </t>
  </si>
  <si>
    <r>
      <t xml:space="preserve">مقایسه تعرفه خدمات تشخیصی و درمانی </t>
    </r>
    <r>
      <rPr>
        <b/>
        <sz val="22"/>
        <color rgb="FF00B050"/>
        <rFont val="B Nazanin"/>
        <charset val="178"/>
      </rPr>
      <t>بخش خیریه</t>
    </r>
    <r>
      <rPr>
        <b/>
        <sz val="22"/>
        <color theme="1"/>
        <rFont val="B Nazanin"/>
        <charset val="178"/>
      </rPr>
      <t xml:space="preserve"> سال 1402و 1403  و1404(ریال)</t>
    </r>
  </si>
  <si>
    <r>
      <t xml:space="preserve">مقایسه تعرفه خدمات تشخیصی و درمانی </t>
    </r>
    <r>
      <rPr>
        <b/>
        <sz val="22"/>
        <color rgb="FF00B050"/>
        <rFont val="B Nazanin"/>
        <charset val="178"/>
      </rPr>
      <t>بخش عمومی غیر دولتی</t>
    </r>
    <r>
      <rPr>
        <b/>
        <sz val="22"/>
        <color theme="1"/>
        <rFont val="B Nazanin"/>
        <charset val="178"/>
      </rPr>
      <t xml:space="preserve"> سال1402 و  1403 و1404(ریال)</t>
    </r>
  </si>
  <si>
    <r>
      <t xml:space="preserve">مقایسه تعرفه خدمات تشخیصی و درمانی </t>
    </r>
    <r>
      <rPr>
        <b/>
        <sz val="22"/>
        <color rgb="FF00B050"/>
        <rFont val="B Nazanin"/>
        <charset val="178"/>
      </rPr>
      <t>بخش خصوصی</t>
    </r>
    <r>
      <rPr>
        <b/>
        <sz val="22"/>
        <color theme="1"/>
        <rFont val="B Nazanin"/>
        <charset val="178"/>
      </rPr>
      <t xml:space="preserve"> سال 1402 و 1403 و1404(ریال)</t>
    </r>
  </si>
  <si>
    <r>
      <t>مقایسه تعرفه خدمات تشخیصی و درمانی</t>
    </r>
    <r>
      <rPr>
        <b/>
        <sz val="22"/>
        <color rgb="FF00B050"/>
        <rFont val="B Nazanin"/>
        <charset val="178"/>
      </rPr>
      <t xml:space="preserve"> بخش دولتی </t>
    </r>
    <r>
      <rPr>
        <b/>
        <sz val="22"/>
        <color theme="1"/>
        <rFont val="B Nazanin"/>
        <charset val="178"/>
      </rPr>
      <t>سال1402 و  1403 و1404( ریال)</t>
    </r>
  </si>
  <si>
    <t>*</t>
  </si>
  <si>
    <t>تعریف شده از سال 1403</t>
  </si>
  <si>
    <r>
      <t xml:space="preserve">ارزیابی و معاینه (ویزیت) سرپایی افراد با سن کمتر از 10 سال تمام </t>
    </r>
    <r>
      <rPr>
        <b/>
        <sz val="11"/>
        <color theme="1"/>
        <rFont val="B Nazanin"/>
        <charset val="178"/>
      </rPr>
      <t>صرفا</t>
    </r>
    <r>
      <rPr>
        <sz val="11"/>
        <color theme="1"/>
        <rFont val="B Nazanin"/>
        <charset val="178"/>
      </rPr>
      <t xml:space="preserve"> برای گروه دوره تکمیلی تخصصی (فلوشیپ) و فوق تخصص کودکان و نوزادان</t>
    </r>
    <r>
      <rPr>
        <b/>
        <sz val="11"/>
        <color theme="1"/>
        <rFont val="B Nazanin"/>
        <charset val="178"/>
      </rPr>
      <t xml:space="preserve"> </t>
    </r>
    <r>
      <rPr>
        <b/>
        <u/>
        <sz val="11"/>
        <color theme="1"/>
        <rFont val="B Nazanin"/>
        <charset val="178"/>
      </rPr>
      <t>(ویزیت متخصص کودکان</t>
    </r>
    <r>
      <rPr>
        <b/>
        <sz val="11"/>
        <color theme="1"/>
        <rFont val="B Nazanin"/>
        <charset val="178"/>
      </rPr>
      <t>)</t>
    </r>
  </si>
  <si>
    <r>
      <t xml:space="preserve">ارزیابی و معاینه (ویزیت) سرپایی افراد با سن کمتر از 10 سال تمام </t>
    </r>
    <r>
      <rPr>
        <b/>
        <sz val="11"/>
        <color theme="1"/>
        <rFont val="B Nazanin"/>
        <charset val="178"/>
      </rPr>
      <t>صرفا</t>
    </r>
    <r>
      <rPr>
        <sz val="11"/>
        <color theme="1"/>
        <rFont val="B Nazanin"/>
        <charset val="178"/>
      </rPr>
      <t xml:space="preserve"> برای گروه دوره</t>
    </r>
    <r>
      <rPr>
        <b/>
        <sz val="11"/>
        <color theme="1"/>
        <rFont val="B Nazanin"/>
        <charset val="178"/>
      </rPr>
      <t xml:space="preserve"> </t>
    </r>
    <r>
      <rPr>
        <sz val="11"/>
        <color theme="1"/>
        <rFont val="B Nazanin"/>
        <charset val="178"/>
      </rPr>
      <t xml:space="preserve">تکمیلی تخصصی (فلوشیپ) و فوق تخصص کودکان و نوزادان </t>
    </r>
    <r>
      <rPr>
        <b/>
        <sz val="11"/>
        <color theme="1"/>
        <rFont val="B Nazanin"/>
        <charset val="178"/>
      </rPr>
      <t>(و</t>
    </r>
    <r>
      <rPr>
        <b/>
        <u/>
        <sz val="11"/>
        <color theme="1"/>
        <rFont val="B Nazanin"/>
        <charset val="178"/>
      </rPr>
      <t>یزیت فوق تخصص و فلوشیپ کودکان</t>
    </r>
    <r>
      <rPr>
        <b/>
        <sz val="11"/>
        <color theme="1"/>
        <rFont val="B Nazanin"/>
        <charset val="178"/>
      </rPr>
      <t>)</t>
    </r>
  </si>
  <si>
    <r>
      <t xml:space="preserve">ارزیابی و معاینه (ویزیت) سرپایی افراد با سن کمتر از 7 سال تمام، برای </t>
    </r>
    <r>
      <rPr>
        <b/>
        <u/>
        <sz val="11"/>
        <color theme="1"/>
        <rFont val="B Nazanin"/>
        <charset val="178"/>
      </rPr>
      <t>سایر</t>
    </r>
    <r>
      <rPr>
        <sz val="11"/>
        <color theme="1"/>
        <rFont val="B Nazanin"/>
        <charset val="178"/>
      </rPr>
      <t xml:space="preserve"> گروه‌های تخصصی، </t>
    </r>
    <r>
      <rPr>
        <b/>
        <u/>
        <sz val="11"/>
        <color theme="1"/>
        <rFont val="B Nazanin"/>
        <charset val="178"/>
      </rPr>
      <t>ویزیت متخصص</t>
    </r>
  </si>
  <si>
    <r>
      <t>ارزیابی و معاینه (ویزیت) سرپایی افراد با سن کمتر از 7 سال تمام، برای</t>
    </r>
    <r>
      <rPr>
        <b/>
        <u/>
        <sz val="11"/>
        <rFont val="B Nazanin"/>
        <charset val="178"/>
      </rPr>
      <t xml:space="preserve"> سایر</t>
    </r>
    <r>
      <rPr>
        <sz val="11"/>
        <color theme="1"/>
        <rFont val="B Nazanin"/>
        <charset val="178"/>
      </rPr>
      <t xml:space="preserve"> گروه‌های تخصصی، </t>
    </r>
    <r>
      <rPr>
        <b/>
        <u/>
        <sz val="11"/>
        <color theme="1"/>
        <rFont val="B Nazanin"/>
        <charset val="178"/>
      </rPr>
      <t xml:space="preserve">ویزیت فوق تخصص/فلوشیپ </t>
    </r>
  </si>
  <si>
    <t xml:space="preserve">جزء فنی کدهای 8 و 9 # دار </t>
  </si>
  <si>
    <t>جزء حرفه ای برای خدمات با علامت # و کدهای 7 و 8</t>
  </si>
  <si>
    <t>جزء حرفه ای # دار</t>
  </si>
  <si>
    <t>ارزیابی و معاینه (ویزیت) سرپایی افراد با سن کمتر از 10 سال تمام صرفا برای گروه دوره تکمیلی تخصصی (فلوشیپ) و فوق تخصص کودکان و نوزادان (ویزیت متخصص کودکان)</t>
  </si>
  <si>
    <t>ارزیابی و معاینه (ویزیت) سرپایی افراد با سن کمتر از 10 سال تمام صرفا برای گروه دوره تکمیلی تخصصی (فلوشیپ) و فوق تخصص کودکان و نوزادان (ویزیت فوق تخصص و فلوشیپ کودکان)</t>
  </si>
  <si>
    <t>پزشکان عمومی با سابقه بیش از پانزده سال کار بالینی (کد 978005)</t>
  </si>
  <si>
    <r>
      <t xml:space="preserve">ارزیابی و معاینه (ویزیت) سرپایی افراد با سن کمتر از 10 سال تمام صرفا برای گروه دوره تکمیلی تخصصی (فلوشیپ) و فوق تخصص کودکان و نوزادان (ویزیت </t>
    </r>
    <r>
      <rPr>
        <b/>
        <sz val="11"/>
        <color theme="1"/>
        <rFont val="B Nazanin"/>
        <charset val="178"/>
      </rPr>
      <t>متخصص کودکان)</t>
    </r>
  </si>
  <si>
    <r>
      <t xml:space="preserve">ارزیابی و معاینه (ویزیت) سرپایی افراد با سن کمتر از 10 سال تمام صرفا برای گروه دوره تکمیلی تخصصی (فلوشیپ) و فوق تخصص کودکان و نوزادان (ویزیت </t>
    </r>
    <r>
      <rPr>
        <b/>
        <sz val="11"/>
        <color theme="1"/>
        <rFont val="B Nazanin"/>
        <charset val="178"/>
      </rPr>
      <t>فوق تخصص و فلوشیپ کودکان)</t>
    </r>
  </si>
  <si>
    <r>
      <t>ارزیابی و معاینه (ویزیت) سرپایی افراد با سن کمتر از 7 سال تمام، برای سایر گروه‌های تخصصی،</t>
    </r>
    <r>
      <rPr>
        <b/>
        <sz val="11"/>
        <color theme="1"/>
        <rFont val="B Nazanin"/>
        <charset val="178"/>
      </rPr>
      <t xml:space="preserve"> ویزیت متخصص</t>
    </r>
  </si>
  <si>
    <r>
      <t>ارزیابی و معاینه (ویزیت) سرپایی افراد با سن کمتر از 7 سال تمام، برای سایر گروه‌های تخصصی،</t>
    </r>
    <r>
      <rPr>
        <b/>
        <sz val="11"/>
        <color theme="1"/>
        <rFont val="B Nazanin"/>
        <charset val="178"/>
      </rPr>
      <t xml:space="preserve"> ویزیت فوق تخصص/فلوشیپ </t>
    </r>
  </si>
  <si>
    <t>جزء فنی کد 7 # دار</t>
  </si>
  <si>
    <t xml:space="preserve">جزء حرفه ای برای  کدهای  7 و 8 با علامت # </t>
  </si>
  <si>
    <t xml:space="preserve">جزء حرفه ای برای کد خدمت های با علامت # </t>
  </si>
  <si>
    <t xml:space="preserve">جزء فنی کد 1 تا 7  با علامت # </t>
  </si>
  <si>
    <t xml:space="preserve">جزء حرفه ای کدهای با علامت # </t>
  </si>
  <si>
    <t>جزء فنی کدهای 1 تا 7 با علامت #</t>
  </si>
  <si>
    <t>جزء فنی کد   7با علامت #</t>
  </si>
  <si>
    <t>جزء فنی کدهای 8 و 9 با علامت #</t>
  </si>
  <si>
    <r>
      <t xml:space="preserve">تعرفه هتلینگ مقایسه شده اختصاصا مربوط به بیمارستان های با درجه  اعتبار بخشی </t>
    </r>
    <r>
      <rPr>
        <b/>
        <u/>
        <sz val="12"/>
        <color theme="1"/>
        <rFont val="Calibri"/>
        <family val="2"/>
        <scheme val="minor"/>
      </rPr>
      <t>1</t>
    </r>
    <r>
      <rPr>
        <b/>
        <sz val="12"/>
        <color theme="1"/>
        <rFont val="Calibri"/>
        <family val="2"/>
        <scheme val="minor"/>
      </rPr>
      <t xml:space="preserve"> می باشد.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</si>
</sst>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1"/>
      <color theme="1"/>
      <name val="Calibri"/>
      <family val="2"/>
      <scheme val="minor"/>
    </font>
    <font>
      <sz val="11"/>
      <color theme="1"/>
      <name val="Calibri"/>
      <family val="2"/>
      <scheme val="minor"/>
    </font>
    <font>
      <sz val="11"/>
      <color theme="1"/>
      <name val="B Nazanin"/>
      <charset val="178"/>
    </font>
    <font>
      <sz val="11"/>
      <color theme="1"/>
      <name val="B Titr"/>
      <charset val="178"/>
    </font>
    <font>
      <b/>
      <sz val="14"/>
      <color theme="1"/>
      <name val="B Nazanin"/>
      <charset val="178"/>
    </font>
    <font>
      <b/>
      <sz val="12"/>
      <color theme="1"/>
      <name val="B Nazanin"/>
      <charset val="178"/>
    </font>
    <font>
      <b/>
      <sz val="12"/>
      <color theme="1"/>
      <name val="Calibri"/>
      <family val="2"/>
      <scheme val="minor"/>
    </font>
    <font>
      <b/>
      <sz val="22"/>
      <color theme="1"/>
      <name val="B Nazanin"/>
      <charset val="178"/>
    </font>
    <font>
      <b/>
      <sz val="11"/>
      <color theme="1"/>
      <name val="B Nazanin"/>
      <charset val="178"/>
    </font>
    <font>
      <b/>
      <sz val="22"/>
      <color rgb="FF00B050"/>
      <name val="B Nazanin"/>
      <charset val="178"/>
    </font>
    <font>
      <sz val="14"/>
      <color theme="1"/>
      <name val="B Nazanin"/>
      <charset val="178"/>
    </font>
    <font>
      <sz val="12"/>
      <color theme="1"/>
      <name val="B Nazanin"/>
      <charset val="178"/>
    </font>
    <font>
      <sz val="12"/>
      <name val="B Nazanin"/>
      <charset val="178"/>
    </font>
    <font>
      <b/>
      <sz val="14"/>
      <name val="B Nazanin"/>
      <charset val="178"/>
    </font>
    <font>
      <sz val="14"/>
      <name val="B Nazanin"/>
      <charset val="178"/>
    </font>
    <font>
      <b/>
      <sz val="16"/>
      <color theme="1"/>
      <name val="B Nazanin"/>
      <charset val="178"/>
    </font>
    <font>
      <b/>
      <sz val="16"/>
      <name val="B Nazanin"/>
      <charset val="178"/>
    </font>
    <font>
      <b/>
      <u/>
      <sz val="11"/>
      <color theme="1"/>
      <name val="B Nazanin"/>
      <charset val="178"/>
    </font>
    <font>
      <b/>
      <u/>
      <sz val="11"/>
      <name val="B Nazanin"/>
      <charset val="178"/>
    </font>
    <font>
      <b/>
      <u/>
      <sz val="12"/>
      <color theme="1"/>
      <name val="Calibri"/>
      <family val="2"/>
      <scheme val="minor"/>
    </font>
  </fonts>
  <fills count="9">
    <fill>
      <patternFill patternType="none"/>
    </fill>
    <fill>
      <patternFill patternType="gray125"/>
    </fill>
    <fill>
      <patternFill patternType="solid">
        <fgColor rgb="FFCCECFF"/>
        <bgColor indexed="64"/>
      </patternFill>
    </fill>
    <fill>
      <patternFill patternType="solid">
        <fgColor rgb="FFFFCCCC"/>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87">
    <xf numFmtId="0" fontId="0" fillId="0" borderId="0" xfId="0"/>
    <xf numFmtId="0" fontId="3" fillId="0" borderId="1" xfId="0" applyFont="1" applyBorder="1" applyAlignment="1">
      <alignment horizontal="center" vertical="center"/>
    </xf>
    <xf numFmtId="164" fontId="4" fillId="0" borderId="1" xfId="0" applyNumberFormat="1" applyFont="1" applyBorder="1"/>
    <xf numFmtId="0" fontId="5" fillId="0" borderId="5" xfId="0" applyFont="1" applyFill="1" applyBorder="1" applyAlignment="1">
      <alignment vertical="top" wrapText="1"/>
    </xf>
    <xf numFmtId="0" fontId="3" fillId="0" borderId="1" xfId="0" applyFont="1" applyBorder="1" applyAlignment="1">
      <alignment horizontal="center" vertical="center" wrapText="1"/>
    </xf>
    <xf numFmtId="0" fontId="0" fillId="0" borderId="0" xfId="0" applyAlignment="1">
      <alignment wrapText="1"/>
    </xf>
    <xf numFmtId="164" fontId="0" fillId="0" borderId="0" xfId="0" applyNumberFormat="1"/>
    <xf numFmtId="0" fontId="3" fillId="0" borderId="1" xfId="0" applyFont="1" applyBorder="1" applyAlignment="1">
      <alignment horizontal="center" vertical="center" wrapText="1"/>
    </xf>
    <xf numFmtId="164" fontId="4" fillId="0" borderId="1" xfId="0" applyNumberFormat="1" applyFont="1" applyFill="1" applyBorder="1"/>
    <xf numFmtId="0" fontId="0" fillId="0" borderId="0" xfId="0" applyFill="1"/>
    <xf numFmtId="0" fontId="3" fillId="0" borderId="1" xfId="0" applyFont="1" applyBorder="1" applyAlignment="1">
      <alignment horizontal="center" vertical="center" wrapText="1"/>
    </xf>
    <xf numFmtId="0" fontId="2" fillId="2" borderId="1" xfId="0" applyFont="1" applyFill="1" applyBorder="1" applyAlignment="1">
      <alignment wrapText="1"/>
    </xf>
    <xf numFmtId="164" fontId="4" fillId="2" borderId="1" xfId="1" applyNumberFormat="1" applyFont="1" applyFill="1" applyBorder="1"/>
    <xf numFmtId="164" fontId="4" fillId="2" borderId="1" xfId="0" applyNumberFormat="1" applyFont="1" applyFill="1" applyBorder="1"/>
    <xf numFmtId="164" fontId="4" fillId="2" borderId="3" xfId="1" applyNumberFormat="1" applyFont="1" applyFill="1" applyBorder="1"/>
    <xf numFmtId="0" fontId="3" fillId="2" borderId="1" xfId="0" applyFont="1" applyFill="1" applyBorder="1" applyAlignment="1">
      <alignment vertical="center" wrapText="1"/>
    </xf>
    <xf numFmtId="0" fontId="3" fillId="2" borderId="3" xfId="0" applyFont="1" applyFill="1" applyBorder="1" applyAlignment="1">
      <alignment horizontal="center" vertical="center" wrapText="1"/>
    </xf>
    <xf numFmtId="0" fontId="0" fillId="0" borderId="0" xfId="0" applyAlignment="1"/>
    <xf numFmtId="0" fontId="2" fillId="2" borderId="1" xfId="0" applyFont="1" applyFill="1" applyBorder="1" applyAlignment="1">
      <alignment horizontal="right" wrapText="1"/>
    </xf>
    <xf numFmtId="0" fontId="0" fillId="0" borderId="0" xfId="0" applyAlignment="1">
      <alignment horizontal="right" wrapText="1"/>
    </xf>
    <xf numFmtId="0" fontId="3" fillId="0" borderId="1" xfId="0" applyFont="1" applyBorder="1" applyAlignment="1">
      <alignment horizontal="right" wrapText="1"/>
    </xf>
    <xf numFmtId="0" fontId="0" fillId="4" borderId="0" xfId="0" applyFill="1"/>
    <xf numFmtId="0" fontId="12"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64" fontId="11" fillId="3" borderId="1" xfId="1" applyNumberFormat="1" applyFont="1" applyFill="1" applyBorder="1" applyAlignment="1">
      <alignment horizontal="center" vertical="center"/>
    </xf>
    <xf numFmtId="0" fontId="11" fillId="5" borderId="1" xfId="0" applyFont="1" applyFill="1" applyBorder="1" applyAlignment="1">
      <alignment horizontal="center" vertical="center"/>
    </xf>
    <xf numFmtId="0" fontId="11" fillId="5" borderId="1" xfId="0" applyFont="1" applyFill="1" applyBorder="1" applyAlignment="1">
      <alignment horizontal="center" vertical="center" wrapText="1"/>
    </xf>
    <xf numFmtId="164" fontId="5" fillId="5" borderId="1" xfId="1"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164" fontId="5" fillId="2" borderId="1" xfId="1" applyNumberFormat="1" applyFont="1" applyFill="1" applyBorder="1" applyAlignment="1">
      <alignment horizontal="center" vertical="center"/>
    </xf>
    <xf numFmtId="0" fontId="12" fillId="3" borderId="1" xfId="0" applyFont="1" applyFill="1" applyBorder="1" applyAlignment="1">
      <alignment horizontal="center" vertical="center" wrapText="1"/>
    </xf>
    <xf numFmtId="0" fontId="6" fillId="7" borderId="6" xfId="0" applyFont="1" applyFill="1" applyBorder="1" applyAlignment="1">
      <alignment wrapText="1"/>
    </xf>
    <xf numFmtId="0" fontId="6" fillId="8" borderId="6" xfId="0" applyFont="1" applyFill="1" applyBorder="1" applyAlignment="1">
      <alignment wrapText="1"/>
    </xf>
    <xf numFmtId="0" fontId="6" fillId="3" borderId="7" xfId="0" applyFont="1" applyFill="1" applyBorder="1" applyAlignment="1">
      <alignment wrapText="1"/>
    </xf>
    <xf numFmtId="164" fontId="4" fillId="0" borderId="1" xfId="0" applyNumberFormat="1"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6" fillId="0" borderId="19" xfId="0" applyFont="1" applyBorder="1" applyAlignment="1">
      <alignment wrapText="1"/>
    </xf>
    <xf numFmtId="0" fontId="5" fillId="0" borderId="0" xfId="0" applyFont="1" applyFill="1" applyBorder="1" applyAlignment="1">
      <alignment vertical="top" wrapText="1"/>
    </xf>
    <xf numFmtId="0" fontId="6" fillId="0" borderId="0" xfId="0" applyFont="1" applyBorder="1" applyAlignment="1">
      <alignment wrapText="1"/>
    </xf>
    <xf numFmtId="0" fontId="5" fillId="0" borderId="0" xfId="0" applyFont="1" applyFill="1" applyBorder="1" applyAlignment="1">
      <alignment horizontal="right" wrapText="1"/>
    </xf>
    <xf numFmtId="0" fontId="6" fillId="0" borderId="0" xfId="0" applyFont="1" applyBorder="1" applyAlignment="1">
      <alignment horizontal="right" wrapText="1"/>
    </xf>
    <xf numFmtId="164" fontId="4" fillId="0" borderId="3" xfId="0" applyNumberFormat="1" applyFont="1" applyBorder="1"/>
    <xf numFmtId="0" fontId="2" fillId="0" borderId="1" xfId="0" applyFont="1" applyFill="1" applyBorder="1" applyAlignment="1">
      <alignment wrapText="1"/>
    </xf>
    <xf numFmtId="164" fontId="4" fillId="0" borderId="1" xfId="1" applyNumberFormat="1" applyFont="1" applyFill="1" applyBorder="1"/>
    <xf numFmtId="0" fontId="2" fillId="0" borderId="1" xfId="0" applyFont="1" applyFill="1" applyBorder="1" applyAlignment="1">
      <alignment horizontal="right" wrapText="1"/>
    </xf>
    <xf numFmtId="164" fontId="4" fillId="2" borderId="1" xfId="0" applyNumberFormat="1" applyFont="1" applyFill="1" applyBorder="1" applyAlignment="1"/>
    <xf numFmtId="164" fontId="4" fillId="0" borderId="3" xfId="1" applyNumberFormat="1" applyFont="1" applyFill="1" applyBorder="1"/>
    <xf numFmtId="164" fontId="2" fillId="0" borderId="1" xfId="1" applyNumberFormat="1" applyFont="1" applyFill="1" applyBorder="1" applyAlignment="1">
      <alignment horizontal="center" vertical="center" wrapText="1"/>
    </xf>
    <xf numFmtId="0" fontId="2" fillId="2" borderId="4" xfId="0" applyFont="1" applyFill="1" applyBorder="1" applyAlignment="1">
      <alignment horizontal="center" wrapText="1"/>
    </xf>
    <xf numFmtId="0" fontId="2" fillId="4" borderId="1" xfId="0" applyFont="1" applyFill="1" applyBorder="1" applyAlignment="1">
      <alignment wrapText="1"/>
    </xf>
    <xf numFmtId="0" fontId="2" fillId="4" borderId="4" xfId="0" applyFont="1" applyFill="1" applyBorder="1" applyAlignment="1">
      <alignment horizontal="center" wrapText="1"/>
    </xf>
    <xf numFmtId="164" fontId="2" fillId="2" borderId="1" xfId="1" applyNumberFormat="1" applyFont="1" applyFill="1" applyBorder="1" applyAlignment="1">
      <alignment horizontal="center" vertical="center" wrapText="1"/>
    </xf>
    <xf numFmtId="0" fontId="2" fillId="2" borderId="4" xfId="0" applyFont="1" applyFill="1" applyBorder="1" applyAlignment="1">
      <alignment horizontal="right" vertical="center" wrapText="1" readingOrder="2"/>
    </xf>
    <xf numFmtId="0" fontId="2" fillId="2" borderId="1" xfId="0" applyFont="1" applyFill="1" applyBorder="1" applyAlignment="1">
      <alignment horizontal="right" vertical="center" wrapText="1" readingOrder="2"/>
    </xf>
    <xf numFmtId="0" fontId="2" fillId="0" borderId="1" xfId="0" applyFont="1" applyFill="1" applyBorder="1" applyAlignment="1">
      <alignment horizontal="right" vertic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0"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3" fillId="6" borderId="1" xfId="0" applyFont="1" applyFill="1" applyBorder="1" applyAlignment="1">
      <alignment horizontal="center" vertical="center" readingOrder="2"/>
    </xf>
    <xf numFmtId="0" fontId="15" fillId="6" borderId="16" xfId="0" applyFont="1" applyFill="1" applyBorder="1" applyAlignment="1">
      <alignment horizontal="center" vertical="center"/>
    </xf>
    <xf numFmtId="0" fontId="15" fillId="6" borderId="17" xfId="0" applyFont="1" applyFill="1" applyBorder="1" applyAlignment="1">
      <alignment horizontal="center" vertical="center"/>
    </xf>
    <xf numFmtId="0" fontId="15" fillId="6" borderId="18" xfId="0" applyFont="1" applyFill="1" applyBorder="1" applyAlignment="1">
      <alignment horizontal="center" vertical="center"/>
    </xf>
    <xf numFmtId="0" fontId="3" fillId="6" borderId="10" xfId="0" applyFont="1" applyFill="1" applyBorder="1" applyAlignment="1">
      <alignment horizontal="center" vertical="center"/>
    </xf>
    <xf numFmtId="0" fontId="10" fillId="6" borderId="12" xfId="0" applyFont="1" applyFill="1" applyBorder="1" applyAlignment="1">
      <alignment horizontal="center" vertical="center"/>
    </xf>
    <xf numFmtId="0" fontId="10" fillId="6" borderId="15" xfId="0" applyFont="1" applyFill="1" applyBorder="1" applyAlignment="1">
      <alignment horizontal="center" vertical="center"/>
    </xf>
    <xf numFmtId="0" fontId="3" fillId="6"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CCECFF"/>
      <color rgb="FFFFCCCC"/>
      <color rgb="FFFF99FF"/>
      <color rgb="FFCC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rightToLeft="1" tabSelected="1" topLeftCell="A4" zoomScale="110" zoomScaleNormal="110" workbookViewId="0">
      <pane ySplit="1" topLeftCell="A17" activePane="bottomLeft" state="frozen"/>
      <selection activeCell="A4" sqref="A4"/>
      <selection pane="bottomLeft" activeCell="D23" sqref="D23"/>
    </sheetView>
  </sheetViews>
  <sheetFormatPr defaultRowHeight="15" x14ac:dyDescent="0.25"/>
  <cols>
    <col min="1" max="1" width="19.7109375" bestFit="1" customWidth="1"/>
    <col min="2" max="2" width="58.85546875" style="5" customWidth="1"/>
    <col min="3" max="3" width="14.85546875" style="5" customWidth="1"/>
    <col min="4" max="4" width="14.28515625" bestFit="1" customWidth="1"/>
    <col min="5" max="5" width="17.140625" customWidth="1"/>
    <col min="6" max="6" width="16" bestFit="1" customWidth="1"/>
    <col min="7" max="7" width="13.140625" customWidth="1"/>
    <col min="8" max="8" width="14.140625" customWidth="1"/>
    <col min="9" max="9" width="13.85546875" customWidth="1"/>
    <col min="10" max="10" width="59.140625" customWidth="1"/>
  </cols>
  <sheetData>
    <row r="1" spans="1:10" hidden="1" x14ac:dyDescent="0.25">
      <c r="A1" s="59" t="s">
        <v>159</v>
      </c>
      <c r="B1" s="60"/>
      <c r="C1" s="60"/>
      <c r="D1" s="60"/>
      <c r="E1" s="60"/>
      <c r="F1" s="60"/>
      <c r="G1" s="60"/>
      <c r="H1" s="60"/>
      <c r="I1" s="61"/>
    </row>
    <row r="2" spans="1:10" hidden="1" x14ac:dyDescent="0.25">
      <c r="A2" s="62"/>
      <c r="B2" s="63"/>
      <c r="C2" s="63"/>
      <c r="D2" s="63"/>
      <c r="E2" s="63"/>
      <c r="F2" s="63"/>
      <c r="G2" s="63"/>
      <c r="H2" s="63"/>
      <c r="I2" s="64"/>
    </row>
    <row r="3" spans="1:10" hidden="1" x14ac:dyDescent="0.25">
      <c r="A3" s="65"/>
      <c r="B3" s="66"/>
      <c r="C3" s="66"/>
      <c r="D3" s="66"/>
      <c r="E3" s="66"/>
      <c r="F3" s="66"/>
      <c r="G3" s="66"/>
      <c r="H3" s="66"/>
      <c r="I3" s="67"/>
    </row>
    <row r="4" spans="1:10" s="5" customFormat="1" ht="45" x14ac:dyDescent="0.25">
      <c r="A4" s="10" t="s">
        <v>27</v>
      </c>
      <c r="B4" s="10" t="s">
        <v>0</v>
      </c>
      <c r="C4" s="10" t="s">
        <v>138</v>
      </c>
      <c r="D4" s="10" t="s">
        <v>36</v>
      </c>
      <c r="E4" s="10" t="s">
        <v>37</v>
      </c>
      <c r="F4" s="10" t="s">
        <v>142</v>
      </c>
      <c r="G4" s="10" t="s">
        <v>143</v>
      </c>
      <c r="H4" s="10" t="s">
        <v>140</v>
      </c>
      <c r="I4" s="10" t="s">
        <v>141</v>
      </c>
    </row>
    <row r="5" spans="1:10" ht="24" customHeight="1" x14ac:dyDescent="0.6">
      <c r="A5" s="70" t="s">
        <v>28</v>
      </c>
      <c r="B5" s="11" t="s">
        <v>40</v>
      </c>
      <c r="C5" s="12">
        <v>303000</v>
      </c>
      <c r="D5" s="12">
        <v>449000</v>
      </c>
      <c r="E5" s="12">
        <f>(1.3*410000)+(0.5*670000)</f>
        <v>868000</v>
      </c>
      <c r="F5" s="12">
        <f>D5-C5</f>
        <v>146000</v>
      </c>
      <c r="G5" s="13">
        <f>(D5-C5)/C5%</f>
        <v>48.184818481848183</v>
      </c>
      <c r="H5" s="13">
        <f>E5-D5</f>
        <v>419000</v>
      </c>
      <c r="I5" s="13">
        <f>(E5-D5)/D5%</f>
        <v>93.318485523385306</v>
      </c>
      <c r="J5" s="6"/>
    </row>
    <row r="6" spans="1:10" ht="24" customHeight="1" x14ac:dyDescent="0.6">
      <c r="A6" s="71"/>
      <c r="B6" s="11" t="s">
        <v>41</v>
      </c>
      <c r="C6" s="12">
        <v>303000</v>
      </c>
      <c r="D6" s="12">
        <v>449000</v>
      </c>
      <c r="E6" s="12">
        <f>(1.3*410000)+(0.5*670000)</f>
        <v>868000</v>
      </c>
      <c r="F6" s="12">
        <f t="shared" ref="F6:F51" si="0">D6-C6</f>
        <v>146000</v>
      </c>
      <c r="G6" s="13">
        <f t="shared" ref="G6:G51" si="1">(D6-C6)/C6%</f>
        <v>48.184818481848183</v>
      </c>
      <c r="H6" s="13">
        <f t="shared" ref="H6:H9" si="2">E6-D6</f>
        <v>419000</v>
      </c>
      <c r="I6" s="13">
        <f t="shared" ref="I6:I9" si="3">(E6-D6)/D6%</f>
        <v>93.318485523385306</v>
      </c>
      <c r="J6" s="6"/>
    </row>
    <row r="7" spans="1:10" ht="24" customHeight="1" x14ac:dyDescent="0.6">
      <c r="A7" s="71"/>
      <c r="B7" s="11" t="s">
        <v>42</v>
      </c>
      <c r="C7" s="12">
        <v>303000</v>
      </c>
      <c r="D7" s="12">
        <v>449000</v>
      </c>
      <c r="E7" s="12">
        <f t="shared" ref="E7" si="4">(1.3*410000)+(0.5*670000)</f>
        <v>868000</v>
      </c>
      <c r="F7" s="12">
        <f t="shared" si="0"/>
        <v>146000</v>
      </c>
      <c r="G7" s="13">
        <f>(D7-C7)/C7%</f>
        <v>48.184818481848183</v>
      </c>
      <c r="H7" s="13">
        <f>E7-D7</f>
        <v>419000</v>
      </c>
      <c r="I7" s="13">
        <f>(E7-D7)/D7%</f>
        <v>93.318485523385306</v>
      </c>
      <c r="J7" s="6"/>
    </row>
    <row r="8" spans="1:10" ht="24" customHeight="1" x14ac:dyDescent="0.6">
      <c r="A8" s="71"/>
      <c r="B8" s="11" t="s">
        <v>43</v>
      </c>
      <c r="C8" s="12">
        <v>377000</v>
      </c>
      <c r="D8" s="12">
        <v>558000</v>
      </c>
      <c r="E8" s="12">
        <f>(1.8*410000)+(0.7*670000)</f>
        <v>1207000</v>
      </c>
      <c r="F8" s="12">
        <f t="shared" si="0"/>
        <v>181000</v>
      </c>
      <c r="G8" s="13">
        <f t="shared" si="1"/>
        <v>48.010610079575599</v>
      </c>
      <c r="H8" s="13">
        <f t="shared" si="2"/>
        <v>649000</v>
      </c>
      <c r="I8" s="13">
        <f>(E8-D8)/D8%</f>
        <v>116.30824372759857</v>
      </c>
      <c r="J8" s="6"/>
    </row>
    <row r="9" spans="1:10" ht="24" customHeight="1" x14ac:dyDescent="0.6">
      <c r="A9" s="71"/>
      <c r="B9" s="11" t="s">
        <v>44</v>
      </c>
      <c r="C9" s="12">
        <v>377000</v>
      </c>
      <c r="D9" s="12">
        <v>558000</v>
      </c>
      <c r="E9" s="12">
        <f t="shared" ref="E9" si="5">(1.8*410000)+(0.7*670000)</f>
        <v>1207000</v>
      </c>
      <c r="F9" s="12">
        <f t="shared" si="0"/>
        <v>181000</v>
      </c>
      <c r="G9" s="13">
        <f t="shared" si="1"/>
        <v>48.010610079575599</v>
      </c>
      <c r="H9" s="13">
        <f t="shared" si="2"/>
        <v>649000</v>
      </c>
      <c r="I9" s="13">
        <f t="shared" si="3"/>
        <v>116.30824372759857</v>
      </c>
      <c r="J9" s="6"/>
    </row>
    <row r="10" spans="1:10" ht="24" x14ac:dyDescent="0.6">
      <c r="A10" s="71"/>
      <c r="B10" s="11" t="s">
        <v>45</v>
      </c>
      <c r="C10" s="12">
        <v>377000</v>
      </c>
      <c r="D10" s="12">
        <v>558000</v>
      </c>
      <c r="E10" s="12">
        <f>(1.8*410000)+(0.7*670000)</f>
        <v>1207000</v>
      </c>
      <c r="F10" s="12">
        <f t="shared" si="0"/>
        <v>181000</v>
      </c>
      <c r="G10" s="13">
        <f t="shared" si="1"/>
        <v>48.010610079575599</v>
      </c>
      <c r="H10" s="13">
        <f>E10-D10</f>
        <v>649000</v>
      </c>
      <c r="I10" s="13">
        <f t="shared" ref="I10:I43" si="6">(E10-D10)/D10%</f>
        <v>116.30824372759857</v>
      </c>
    </row>
    <row r="11" spans="1:10" ht="24" x14ac:dyDescent="0.6">
      <c r="A11" s="71"/>
      <c r="B11" s="11" t="s">
        <v>46</v>
      </c>
      <c r="C11" s="12">
        <v>458000</v>
      </c>
      <c r="D11" s="12">
        <v>678000</v>
      </c>
      <c r="E11" s="12">
        <f>(2.3*410000)+(0.8*670000)</f>
        <v>1479000</v>
      </c>
      <c r="F11" s="12">
        <f t="shared" si="0"/>
        <v>220000</v>
      </c>
      <c r="G11" s="13">
        <f t="shared" si="1"/>
        <v>48.034934497816593</v>
      </c>
      <c r="H11" s="13">
        <f>E11-D11</f>
        <v>801000</v>
      </c>
      <c r="I11" s="13">
        <f t="shared" si="6"/>
        <v>118.14159292035399</v>
      </c>
    </row>
    <row r="12" spans="1:10" ht="24" x14ac:dyDescent="0.6">
      <c r="A12" s="71"/>
      <c r="B12" s="11" t="s">
        <v>47</v>
      </c>
      <c r="C12" s="12">
        <v>458000</v>
      </c>
      <c r="D12" s="12">
        <v>678000</v>
      </c>
      <c r="E12" s="12">
        <f>(2.3*410000)+(0.8*670000)</f>
        <v>1479000</v>
      </c>
      <c r="F12" s="12">
        <f t="shared" si="0"/>
        <v>220000</v>
      </c>
      <c r="G12" s="13">
        <f t="shared" si="1"/>
        <v>48.034934497816593</v>
      </c>
      <c r="H12" s="13">
        <f>E12-D12</f>
        <v>801000</v>
      </c>
      <c r="I12" s="13">
        <f t="shared" si="6"/>
        <v>118.14159292035399</v>
      </c>
    </row>
    <row r="13" spans="1:10" ht="24" x14ac:dyDescent="0.6">
      <c r="A13" s="71"/>
      <c r="B13" s="11" t="s">
        <v>2</v>
      </c>
      <c r="C13" s="12">
        <v>478000</v>
      </c>
      <c r="D13" s="12">
        <v>708000</v>
      </c>
      <c r="E13" s="12">
        <f>(2.3*410000)+(0.8*670000)</f>
        <v>1479000</v>
      </c>
      <c r="F13" s="12">
        <f t="shared" si="0"/>
        <v>230000</v>
      </c>
      <c r="G13" s="13">
        <f t="shared" si="1"/>
        <v>48.11715481171548</v>
      </c>
      <c r="H13" s="13">
        <f>E13-D13</f>
        <v>771000</v>
      </c>
      <c r="I13" s="13">
        <f t="shared" si="6"/>
        <v>108.89830508474576</v>
      </c>
    </row>
    <row r="14" spans="1:10" ht="24" x14ac:dyDescent="0.6">
      <c r="A14" s="71"/>
      <c r="B14" s="11" t="s">
        <v>51</v>
      </c>
      <c r="C14" s="12">
        <v>569000</v>
      </c>
      <c r="D14" s="12">
        <v>842000</v>
      </c>
      <c r="E14" s="12">
        <f>(2.7*410000)+(0.9*670000)</f>
        <v>1710000</v>
      </c>
      <c r="F14" s="12">
        <f>D14-C14</f>
        <v>273000</v>
      </c>
      <c r="G14" s="13">
        <f t="shared" si="1"/>
        <v>47.978910369068544</v>
      </c>
      <c r="H14" s="13">
        <f t="shared" ref="H14:H16" si="7">E14-D14</f>
        <v>868000</v>
      </c>
      <c r="I14" s="13">
        <f t="shared" si="6"/>
        <v>103.08788598574822</v>
      </c>
    </row>
    <row r="15" spans="1:10" ht="24" x14ac:dyDescent="0.6">
      <c r="A15" s="71"/>
      <c r="B15" s="11" t="s">
        <v>139</v>
      </c>
      <c r="C15" s="12">
        <v>569000</v>
      </c>
      <c r="D15" s="12">
        <v>842000</v>
      </c>
      <c r="E15" s="12">
        <f>(2.7*410000)+(0.9*670000)</f>
        <v>1710000</v>
      </c>
      <c r="F15" s="12">
        <f t="shared" si="0"/>
        <v>273000</v>
      </c>
      <c r="G15" s="13">
        <f t="shared" si="1"/>
        <v>47.978910369068544</v>
      </c>
      <c r="H15" s="13">
        <f t="shared" si="7"/>
        <v>868000</v>
      </c>
      <c r="I15" s="13">
        <f t="shared" si="6"/>
        <v>103.08788598574822</v>
      </c>
    </row>
    <row r="16" spans="1:10" ht="24" x14ac:dyDescent="0.6">
      <c r="A16" s="71"/>
      <c r="B16" s="11" t="s">
        <v>4</v>
      </c>
      <c r="C16" s="12">
        <v>259000</v>
      </c>
      <c r="D16" s="12">
        <v>384000</v>
      </c>
      <c r="E16" s="12">
        <f>(1.1*410000)+(0.4*670000)</f>
        <v>719000</v>
      </c>
      <c r="F16" s="12">
        <f t="shared" si="0"/>
        <v>125000</v>
      </c>
      <c r="G16" s="13">
        <f t="shared" si="1"/>
        <v>48.262548262548265</v>
      </c>
      <c r="H16" s="13">
        <f t="shared" si="7"/>
        <v>335000</v>
      </c>
      <c r="I16" s="13">
        <f t="shared" si="6"/>
        <v>87.239583333333329</v>
      </c>
    </row>
    <row r="17" spans="1:10" ht="24" x14ac:dyDescent="0.6">
      <c r="A17" s="71"/>
      <c r="B17" s="11" t="s">
        <v>5</v>
      </c>
      <c r="C17" s="12">
        <v>211000</v>
      </c>
      <c r="D17" s="12">
        <v>313000</v>
      </c>
      <c r="E17" s="12">
        <f>(0.9*410000)+(0.35*670000)</f>
        <v>603500</v>
      </c>
      <c r="F17" s="12">
        <f t="shared" si="0"/>
        <v>102000</v>
      </c>
      <c r="G17" s="13">
        <f t="shared" si="1"/>
        <v>48.341232227488149</v>
      </c>
      <c r="H17" s="13">
        <f t="shared" ref="H17:H51" si="8">E17-D17</f>
        <v>290500</v>
      </c>
      <c r="I17" s="13">
        <f t="shared" si="6"/>
        <v>92.811501597444092</v>
      </c>
      <c r="J17" s="6"/>
    </row>
    <row r="18" spans="1:10" ht="60" x14ac:dyDescent="0.6">
      <c r="A18" s="71"/>
      <c r="B18" s="11" t="s">
        <v>162</v>
      </c>
      <c r="C18" s="55" t="s">
        <v>56</v>
      </c>
      <c r="D18" s="55" t="s">
        <v>56</v>
      </c>
      <c r="E18" s="12">
        <f>(0.5*410000)+(0.15*670000)+E8</f>
        <v>1512500</v>
      </c>
      <c r="F18" s="12" t="s">
        <v>160</v>
      </c>
      <c r="G18" s="12" t="s">
        <v>160</v>
      </c>
      <c r="H18" s="13" t="s">
        <v>160</v>
      </c>
      <c r="I18" s="12" t="s">
        <v>160</v>
      </c>
    </row>
    <row r="19" spans="1:10" ht="60" x14ac:dyDescent="0.6">
      <c r="A19" s="71"/>
      <c r="B19" s="11" t="s">
        <v>163</v>
      </c>
      <c r="C19" s="55" t="s">
        <v>56</v>
      </c>
      <c r="D19" s="55" t="s">
        <v>56</v>
      </c>
      <c r="E19" s="12">
        <f>(0.5*410000)+(0.15*670000)+E11</f>
        <v>1784500</v>
      </c>
      <c r="F19" s="12" t="s">
        <v>160</v>
      </c>
      <c r="G19" s="12" t="s">
        <v>160</v>
      </c>
      <c r="H19" s="12" t="s">
        <v>160</v>
      </c>
      <c r="I19" s="12" t="s">
        <v>160</v>
      </c>
    </row>
    <row r="20" spans="1:10" ht="39" customHeight="1" x14ac:dyDescent="0.6">
      <c r="A20" s="71"/>
      <c r="B20" s="52" t="s">
        <v>164</v>
      </c>
      <c r="C20" s="55" t="s">
        <v>161</v>
      </c>
      <c r="D20" s="12">
        <f>120%*D8</f>
        <v>669600</v>
      </c>
      <c r="E20" s="12">
        <f>(0.5*410000)+(0.15*670000)+E8</f>
        <v>1512500</v>
      </c>
      <c r="F20" s="12" t="s">
        <v>160</v>
      </c>
      <c r="G20" s="12" t="s">
        <v>160</v>
      </c>
      <c r="H20" s="13">
        <f>E20-D20</f>
        <v>842900</v>
      </c>
      <c r="I20" s="13">
        <f>(E20-D20)/D20%</f>
        <v>125.88112305854241</v>
      </c>
    </row>
    <row r="21" spans="1:10" ht="40.5" x14ac:dyDescent="0.6">
      <c r="A21" s="71"/>
      <c r="B21" s="52" t="s">
        <v>165</v>
      </c>
      <c r="C21" s="55" t="s">
        <v>161</v>
      </c>
      <c r="D21" s="12">
        <f>120%*D12</f>
        <v>813600</v>
      </c>
      <c r="E21" s="12">
        <f>(0.5*410000)+(0.15*670000)+E12</f>
        <v>1784500</v>
      </c>
      <c r="F21" s="12" t="s">
        <v>160</v>
      </c>
      <c r="G21" s="12" t="s">
        <v>160</v>
      </c>
      <c r="H21" s="13">
        <f>E21-D21</f>
        <v>970900</v>
      </c>
      <c r="I21" s="13">
        <f>(E21-D21)/D21%</f>
        <v>119.3338249754179</v>
      </c>
    </row>
    <row r="22" spans="1:10" ht="24" x14ac:dyDescent="0.6">
      <c r="A22" s="16"/>
      <c r="B22" s="11" t="s">
        <v>59</v>
      </c>
      <c r="C22" s="12">
        <f>(15%*C5)+C5</f>
        <v>348450</v>
      </c>
      <c r="D22" s="12">
        <f>115%*D5</f>
        <v>516349.99999999994</v>
      </c>
      <c r="E22" s="12">
        <f>(0.4*410000)+E5</f>
        <v>1032000</v>
      </c>
      <c r="F22" s="12">
        <f>D22-C22</f>
        <v>167899.99999999994</v>
      </c>
      <c r="G22" s="13">
        <f>(D22-C22)/C22%</f>
        <v>48.184818481848168</v>
      </c>
      <c r="H22" s="13">
        <f>E22-D22</f>
        <v>515650.00000000006</v>
      </c>
      <c r="I22" s="13">
        <f>(E22-D22)/D22%</f>
        <v>99.864433039604947</v>
      </c>
    </row>
    <row r="23" spans="1:10" ht="45" customHeight="1" x14ac:dyDescent="0.6">
      <c r="A23" s="72" t="s">
        <v>29</v>
      </c>
      <c r="B23" s="46" t="s">
        <v>1</v>
      </c>
      <c r="C23" s="47">
        <v>640900</v>
      </c>
      <c r="D23" s="47">
        <v>1025400</v>
      </c>
      <c r="E23" s="47">
        <f>(1.8*770000)+(0.7*670000)</f>
        <v>1855000</v>
      </c>
      <c r="F23" s="47">
        <f t="shared" si="0"/>
        <v>384500</v>
      </c>
      <c r="G23" s="47">
        <f t="shared" si="1"/>
        <v>59.993758776720234</v>
      </c>
      <c r="H23" s="8">
        <f t="shared" si="8"/>
        <v>829600</v>
      </c>
      <c r="I23" s="8">
        <f>(E23-D23)/D23%</f>
        <v>80.905012677979329</v>
      </c>
    </row>
    <row r="24" spans="1:10" ht="24" x14ac:dyDescent="0.6">
      <c r="A24" s="73"/>
      <c r="B24" s="46" t="s">
        <v>57</v>
      </c>
      <c r="C24" s="47">
        <v>778600</v>
      </c>
      <c r="D24" s="47">
        <v>1245800</v>
      </c>
      <c r="E24" s="47">
        <f>(2.3*770000)+(0.8*670000)</f>
        <v>2307000</v>
      </c>
      <c r="F24" s="47">
        <f t="shared" si="0"/>
        <v>467200</v>
      </c>
      <c r="G24" s="47">
        <f t="shared" si="1"/>
        <v>60.005137426149496</v>
      </c>
      <c r="H24" s="8">
        <f t="shared" si="8"/>
        <v>1061200</v>
      </c>
      <c r="I24" s="8">
        <f>(E24-D24)/D24%</f>
        <v>85.182212233103229</v>
      </c>
    </row>
    <row r="25" spans="1:10" ht="24" x14ac:dyDescent="0.6">
      <c r="A25" s="73"/>
      <c r="B25" s="46" t="s">
        <v>2</v>
      </c>
      <c r="C25" s="47">
        <v>812600</v>
      </c>
      <c r="D25" s="47">
        <v>1300200</v>
      </c>
      <c r="E25" s="47">
        <f>(2.3*770000)+(0.8*670000)</f>
        <v>2307000</v>
      </c>
      <c r="F25" s="47">
        <f t="shared" si="0"/>
        <v>487600</v>
      </c>
      <c r="G25" s="47">
        <f t="shared" si="1"/>
        <v>60.004922471080484</v>
      </c>
      <c r="H25" s="8">
        <f t="shared" si="8"/>
        <v>1006800</v>
      </c>
      <c r="I25" s="8">
        <f t="shared" si="6"/>
        <v>77.434240886017534</v>
      </c>
    </row>
    <row r="26" spans="1:10" ht="24" x14ac:dyDescent="0.6">
      <c r="A26" s="73"/>
      <c r="B26" s="46" t="s">
        <v>3</v>
      </c>
      <c r="C26" s="47">
        <v>967300</v>
      </c>
      <c r="D26" s="47">
        <v>1547700</v>
      </c>
      <c r="E26" s="47">
        <f>(2.7*770000)+(0.9*670000)</f>
        <v>2682000</v>
      </c>
      <c r="F26" s="47">
        <f t="shared" si="0"/>
        <v>580400</v>
      </c>
      <c r="G26" s="47">
        <f t="shared" si="1"/>
        <v>60.002067610875635</v>
      </c>
      <c r="H26" s="8">
        <f t="shared" si="8"/>
        <v>1134300</v>
      </c>
      <c r="I26" s="8">
        <f t="shared" si="6"/>
        <v>73.289397169994189</v>
      </c>
    </row>
    <row r="27" spans="1:10" ht="60" x14ac:dyDescent="0.6">
      <c r="A27" s="73"/>
      <c r="B27" s="53" t="s">
        <v>162</v>
      </c>
      <c r="C27" s="51" t="s">
        <v>56</v>
      </c>
      <c r="D27" s="51" t="s">
        <v>56</v>
      </c>
      <c r="E27" s="47">
        <f>(0.5*770000)+(0.15*670000)+E23</f>
        <v>2340500</v>
      </c>
      <c r="F27" s="47" t="s">
        <v>160</v>
      </c>
      <c r="G27" s="47" t="s">
        <v>160</v>
      </c>
      <c r="H27" s="47" t="s">
        <v>160</v>
      </c>
      <c r="I27" s="47" t="s">
        <v>160</v>
      </c>
    </row>
    <row r="28" spans="1:10" ht="60" x14ac:dyDescent="0.6">
      <c r="A28" s="73"/>
      <c r="B28" s="53" t="s">
        <v>163</v>
      </c>
      <c r="C28" s="51" t="s">
        <v>56</v>
      </c>
      <c r="D28" s="51" t="s">
        <v>56</v>
      </c>
      <c r="E28" s="47">
        <f>(0.5*770000)+(0.15*670000)+E24</f>
        <v>2792500</v>
      </c>
      <c r="F28" s="47" t="s">
        <v>160</v>
      </c>
      <c r="G28" s="47" t="s">
        <v>160</v>
      </c>
      <c r="H28" s="47" t="s">
        <v>160</v>
      </c>
      <c r="I28" s="47" t="s">
        <v>160</v>
      </c>
    </row>
    <row r="29" spans="1:10" ht="40.5" x14ac:dyDescent="0.6">
      <c r="A29" s="73"/>
      <c r="B29" s="54" t="s">
        <v>164</v>
      </c>
      <c r="C29" s="51" t="s">
        <v>161</v>
      </c>
      <c r="D29" s="47">
        <f>120%*D23</f>
        <v>1230480</v>
      </c>
      <c r="E29" s="47">
        <f>(0.5*770000)+(0.15*670000)+E23</f>
        <v>2340500</v>
      </c>
      <c r="F29" s="47" t="s">
        <v>160</v>
      </c>
      <c r="G29" s="47" t="s">
        <v>160</v>
      </c>
      <c r="H29" s="8">
        <f t="shared" ref="H29" si="9">E29-D29</f>
        <v>1110020</v>
      </c>
      <c r="I29" s="8">
        <f>(E29-D29)/D29%</f>
        <v>90.210324426240177</v>
      </c>
    </row>
    <row r="30" spans="1:10" ht="40.5" x14ac:dyDescent="0.6">
      <c r="A30" s="74"/>
      <c r="B30" s="54" t="s">
        <v>165</v>
      </c>
      <c r="C30" s="51" t="s">
        <v>161</v>
      </c>
      <c r="D30" s="47">
        <f>120%*D24</f>
        <v>1494960</v>
      </c>
      <c r="E30" s="47">
        <f>(0.5*770000)+(0.15*670000)+E24</f>
        <v>2792500</v>
      </c>
      <c r="F30" s="47" t="s">
        <v>160</v>
      </c>
      <c r="G30" s="47" t="s">
        <v>160</v>
      </c>
      <c r="H30" s="8">
        <f>E30-D30</f>
        <v>1297540</v>
      </c>
      <c r="I30" s="8">
        <f>(E30-D30)/D30%</f>
        <v>86.794295499545143</v>
      </c>
    </row>
    <row r="31" spans="1:10" ht="21.75" customHeight="1" x14ac:dyDescent="0.6">
      <c r="A31" s="69" t="s">
        <v>6</v>
      </c>
      <c r="B31" s="11" t="s">
        <v>39</v>
      </c>
      <c r="C31" s="12">
        <v>201000</v>
      </c>
      <c r="D31" s="12">
        <v>302000</v>
      </c>
      <c r="E31" s="12">
        <v>410000</v>
      </c>
      <c r="F31" s="12">
        <f>D31-C31</f>
        <v>101000</v>
      </c>
      <c r="G31" s="13">
        <f>(D31-C31)/C31%</f>
        <v>50.24875621890547</v>
      </c>
      <c r="H31" s="13">
        <f>E31-D31</f>
        <v>108000</v>
      </c>
      <c r="I31" s="13">
        <f>(E31-D31)/D31%</f>
        <v>35.76158940397351</v>
      </c>
    </row>
    <row r="32" spans="1:10" ht="21.75" customHeight="1" x14ac:dyDescent="0.6">
      <c r="A32" s="69"/>
      <c r="B32" s="11" t="s">
        <v>7</v>
      </c>
      <c r="C32" s="12">
        <v>697000</v>
      </c>
      <c r="D32" s="14">
        <v>1011000</v>
      </c>
      <c r="E32" s="12">
        <v>1370000</v>
      </c>
      <c r="F32" s="12">
        <f t="shared" si="0"/>
        <v>314000</v>
      </c>
      <c r="G32" s="13">
        <f t="shared" si="1"/>
        <v>45.05021520803443</v>
      </c>
      <c r="H32" s="13">
        <f t="shared" si="8"/>
        <v>359000</v>
      </c>
      <c r="I32" s="13">
        <f t="shared" si="6"/>
        <v>35.509396636993074</v>
      </c>
    </row>
    <row r="33" spans="1:9" ht="21.75" customHeight="1" x14ac:dyDescent="0.6">
      <c r="A33" s="69"/>
      <c r="B33" s="11" t="s">
        <v>8</v>
      </c>
      <c r="C33" s="12">
        <v>392000</v>
      </c>
      <c r="D33" s="12">
        <v>568000</v>
      </c>
      <c r="E33" s="12">
        <v>770000</v>
      </c>
      <c r="F33" s="12">
        <f t="shared" si="0"/>
        <v>176000</v>
      </c>
      <c r="G33" s="13">
        <f t="shared" si="1"/>
        <v>44.897959183673471</v>
      </c>
      <c r="H33" s="13">
        <f t="shared" si="8"/>
        <v>202000</v>
      </c>
      <c r="I33" s="13">
        <f t="shared" si="6"/>
        <v>35.563380281690144</v>
      </c>
    </row>
    <row r="34" spans="1:9" ht="22.5" customHeight="1" x14ac:dyDescent="0.6">
      <c r="A34" s="69"/>
      <c r="B34" s="11" t="s">
        <v>38</v>
      </c>
      <c r="C34" s="12">
        <v>434000</v>
      </c>
      <c r="D34" s="12">
        <v>629000</v>
      </c>
      <c r="E34" s="12">
        <v>850000</v>
      </c>
      <c r="F34" s="12">
        <f t="shared" si="0"/>
        <v>195000</v>
      </c>
      <c r="G34" s="13">
        <f t="shared" si="1"/>
        <v>44.930875576036868</v>
      </c>
      <c r="H34" s="13">
        <f t="shared" si="8"/>
        <v>221000</v>
      </c>
      <c r="I34" s="13">
        <f t="shared" si="6"/>
        <v>35.135135135135137</v>
      </c>
    </row>
    <row r="35" spans="1:9" ht="24" x14ac:dyDescent="0.6">
      <c r="A35" s="68" t="s">
        <v>10</v>
      </c>
      <c r="B35" s="46" t="s">
        <v>10</v>
      </c>
      <c r="C35" s="47">
        <v>294000</v>
      </c>
      <c r="D35" s="47">
        <v>397000</v>
      </c>
      <c r="E35" s="47">
        <v>670000</v>
      </c>
      <c r="F35" s="47">
        <f t="shared" si="0"/>
        <v>103000</v>
      </c>
      <c r="G35" s="47">
        <f t="shared" si="1"/>
        <v>35.034013605442176</v>
      </c>
      <c r="H35" s="8">
        <f t="shared" si="8"/>
        <v>273000</v>
      </c>
      <c r="I35" s="8">
        <f t="shared" si="6"/>
        <v>68.765743073047858</v>
      </c>
    </row>
    <row r="36" spans="1:9" ht="24" x14ac:dyDescent="0.6">
      <c r="A36" s="68"/>
      <c r="B36" s="46" t="s">
        <v>33</v>
      </c>
      <c r="C36" s="47">
        <v>317000</v>
      </c>
      <c r="D36" s="47">
        <v>428000</v>
      </c>
      <c r="E36" s="47" t="s">
        <v>160</v>
      </c>
      <c r="F36" s="47">
        <f t="shared" si="0"/>
        <v>111000</v>
      </c>
      <c r="G36" s="47">
        <f>(D36-C36)/C36%</f>
        <v>35.01577287066246</v>
      </c>
      <c r="H36" s="8" t="s">
        <v>160</v>
      </c>
      <c r="I36" s="8" t="s">
        <v>160</v>
      </c>
    </row>
    <row r="37" spans="1:9" ht="24" x14ac:dyDescent="0.6">
      <c r="A37" s="68"/>
      <c r="B37" s="46" t="s">
        <v>11</v>
      </c>
      <c r="C37" s="47">
        <v>317000</v>
      </c>
      <c r="D37" s="47">
        <v>428000</v>
      </c>
      <c r="E37" s="47">
        <v>730000</v>
      </c>
      <c r="F37" s="47">
        <f t="shared" si="0"/>
        <v>111000</v>
      </c>
      <c r="G37" s="47">
        <f t="shared" si="1"/>
        <v>35.01577287066246</v>
      </c>
      <c r="H37" s="8">
        <f t="shared" si="8"/>
        <v>302000</v>
      </c>
      <c r="I37" s="8">
        <f t="shared" si="6"/>
        <v>70.560747663551396</v>
      </c>
    </row>
    <row r="38" spans="1:9" ht="24" x14ac:dyDescent="0.6">
      <c r="A38" s="68"/>
      <c r="B38" s="46" t="s">
        <v>12</v>
      </c>
      <c r="C38" s="47">
        <v>326000</v>
      </c>
      <c r="D38" s="47">
        <v>554000</v>
      </c>
      <c r="E38" s="47">
        <v>1000000</v>
      </c>
      <c r="F38" s="47">
        <f t="shared" si="0"/>
        <v>228000</v>
      </c>
      <c r="G38" s="47">
        <f t="shared" si="1"/>
        <v>69.938650306748471</v>
      </c>
      <c r="H38" s="8">
        <f t="shared" si="8"/>
        <v>446000</v>
      </c>
      <c r="I38" s="8">
        <f t="shared" si="6"/>
        <v>80.505415162454867</v>
      </c>
    </row>
    <row r="39" spans="1:9" ht="24" x14ac:dyDescent="0.6">
      <c r="A39" s="69" t="s">
        <v>26</v>
      </c>
      <c r="B39" s="11" t="s">
        <v>13</v>
      </c>
      <c r="C39" s="12">
        <v>9196000</v>
      </c>
      <c r="D39" s="12">
        <v>12415000</v>
      </c>
      <c r="E39" s="12">
        <v>20000000</v>
      </c>
      <c r="F39" s="12">
        <f t="shared" si="0"/>
        <v>3219000</v>
      </c>
      <c r="G39" s="13">
        <f t="shared" si="1"/>
        <v>35.004349717268376</v>
      </c>
      <c r="H39" s="13">
        <f t="shared" si="8"/>
        <v>7585000</v>
      </c>
      <c r="I39" s="13">
        <f t="shared" si="6"/>
        <v>61.095449053564238</v>
      </c>
    </row>
    <row r="40" spans="1:9" ht="24" x14ac:dyDescent="0.6">
      <c r="A40" s="69"/>
      <c r="B40" s="11" t="s">
        <v>14</v>
      </c>
      <c r="C40" s="12">
        <v>6901000</v>
      </c>
      <c r="D40" s="12">
        <v>9316000</v>
      </c>
      <c r="E40" s="12">
        <v>15010000</v>
      </c>
      <c r="F40" s="12">
        <f t="shared" si="0"/>
        <v>2415000</v>
      </c>
      <c r="G40" s="13">
        <f t="shared" si="1"/>
        <v>34.994928271265032</v>
      </c>
      <c r="H40" s="13">
        <f t="shared" si="8"/>
        <v>5694000</v>
      </c>
      <c r="I40" s="13">
        <f t="shared" si="6"/>
        <v>61.120652640618289</v>
      </c>
    </row>
    <row r="41" spans="1:9" ht="24" x14ac:dyDescent="0.6">
      <c r="A41" s="69"/>
      <c r="B41" s="11" t="s">
        <v>15</v>
      </c>
      <c r="C41" s="12">
        <v>4598000</v>
      </c>
      <c r="D41" s="12">
        <v>6207000</v>
      </c>
      <c r="E41" s="12">
        <v>10000000</v>
      </c>
      <c r="F41" s="12">
        <f t="shared" si="0"/>
        <v>1609000</v>
      </c>
      <c r="G41" s="13">
        <f t="shared" si="1"/>
        <v>34.993475424097433</v>
      </c>
      <c r="H41" s="13">
        <f t="shared" si="8"/>
        <v>3793000</v>
      </c>
      <c r="I41" s="13">
        <f>(E41-D41)/D41%</f>
        <v>61.108425970678269</v>
      </c>
    </row>
    <row r="42" spans="1:9" ht="24" x14ac:dyDescent="0.6">
      <c r="A42" s="69"/>
      <c r="B42" s="11" t="s">
        <v>16</v>
      </c>
      <c r="C42" s="12">
        <v>1034000</v>
      </c>
      <c r="D42" s="12">
        <v>1396000</v>
      </c>
      <c r="E42" s="12">
        <v>2250000</v>
      </c>
      <c r="F42" s="12">
        <f t="shared" si="0"/>
        <v>362000</v>
      </c>
      <c r="G42" s="13">
        <f t="shared" si="1"/>
        <v>35.009671179883945</v>
      </c>
      <c r="H42" s="13">
        <f t="shared" si="8"/>
        <v>854000</v>
      </c>
      <c r="I42" s="13">
        <f t="shared" si="6"/>
        <v>61.174785100286535</v>
      </c>
    </row>
    <row r="43" spans="1:9" ht="24" x14ac:dyDescent="0.6">
      <c r="A43" s="69"/>
      <c r="B43" s="11" t="s">
        <v>17</v>
      </c>
      <c r="C43" s="12">
        <v>2303000</v>
      </c>
      <c r="D43" s="12">
        <v>3109000</v>
      </c>
      <c r="E43" s="14">
        <v>5010000</v>
      </c>
      <c r="F43" s="12">
        <f t="shared" si="0"/>
        <v>806000</v>
      </c>
      <c r="G43" s="13">
        <f t="shared" si="1"/>
        <v>34.997828918801567</v>
      </c>
      <c r="H43" s="13">
        <f t="shared" si="8"/>
        <v>1901000</v>
      </c>
      <c r="I43" s="13">
        <f t="shared" si="6"/>
        <v>61.145062721132199</v>
      </c>
    </row>
    <row r="44" spans="1:9" ht="24" x14ac:dyDescent="0.6">
      <c r="A44" s="69"/>
      <c r="B44" s="11" t="s">
        <v>18</v>
      </c>
      <c r="C44" s="12">
        <v>4598000</v>
      </c>
      <c r="D44" s="12">
        <v>6207000</v>
      </c>
      <c r="E44" s="12">
        <v>10000000</v>
      </c>
      <c r="F44" s="12">
        <f t="shared" si="0"/>
        <v>1609000</v>
      </c>
      <c r="G44" s="13">
        <f t="shared" si="1"/>
        <v>34.993475424097433</v>
      </c>
      <c r="H44" s="13">
        <f t="shared" si="8"/>
        <v>3793000</v>
      </c>
      <c r="I44" s="13">
        <f>(E44-D44)/D44%</f>
        <v>61.108425970678269</v>
      </c>
    </row>
    <row r="45" spans="1:9" ht="24" x14ac:dyDescent="0.6">
      <c r="A45" s="69"/>
      <c r="B45" s="11" t="s">
        <v>19</v>
      </c>
      <c r="C45" s="12">
        <v>4598000</v>
      </c>
      <c r="D45" s="12">
        <v>6207000</v>
      </c>
      <c r="E45" s="12">
        <v>10000000</v>
      </c>
      <c r="F45" s="12">
        <f t="shared" si="0"/>
        <v>1609000</v>
      </c>
      <c r="G45" s="13">
        <f t="shared" si="1"/>
        <v>34.993475424097433</v>
      </c>
      <c r="H45" s="13">
        <f t="shared" si="8"/>
        <v>3793000</v>
      </c>
      <c r="I45" s="13">
        <f>(E45-D45)/D45%</f>
        <v>61.108425970678269</v>
      </c>
    </row>
    <row r="46" spans="1:9" ht="24" x14ac:dyDescent="0.6">
      <c r="A46" s="69"/>
      <c r="B46" s="11" t="s">
        <v>20</v>
      </c>
      <c r="C46" s="12">
        <v>16232000</v>
      </c>
      <c r="D46" s="12">
        <v>21913000</v>
      </c>
      <c r="E46" s="12">
        <v>35300000</v>
      </c>
      <c r="F46" s="12">
        <f t="shared" si="0"/>
        <v>5681000</v>
      </c>
      <c r="G46" s="13">
        <f t="shared" si="1"/>
        <v>34.998767865943812</v>
      </c>
      <c r="H46" s="13">
        <f t="shared" si="8"/>
        <v>13387000</v>
      </c>
      <c r="I46" s="13">
        <f>(E46-D46)/D46%</f>
        <v>61.09158946743942</v>
      </c>
    </row>
    <row r="47" spans="1:9" ht="38.25" x14ac:dyDescent="0.6">
      <c r="A47" s="69"/>
      <c r="B47" s="11" t="s">
        <v>21</v>
      </c>
      <c r="C47" s="12">
        <v>10669000</v>
      </c>
      <c r="D47" s="12">
        <v>14403000</v>
      </c>
      <c r="E47" s="12">
        <v>23200000</v>
      </c>
      <c r="F47" s="12">
        <f t="shared" si="0"/>
        <v>3734000</v>
      </c>
      <c r="G47" s="13">
        <f t="shared" si="1"/>
        <v>34.998594057549909</v>
      </c>
      <c r="H47" s="13">
        <f t="shared" si="8"/>
        <v>8797000</v>
      </c>
      <c r="I47" s="13">
        <f>(E47-D47)/D47%</f>
        <v>61.077553287509545</v>
      </c>
    </row>
    <row r="48" spans="1:9" ht="24" x14ac:dyDescent="0.6">
      <c r="A48" s="69"/>
      <c r="B48" s="11" t="s">
        <v>22</v>
      </c>
      <c r="C48" s="12">
        <v>10669000</v>
      </c>
      <c r="D48" s="12">
        <v>14403000</v>
      </c>
      <c r="E48" s="12">
        <v>23200000</v>
      </c>
      <c r="F48" s="12">
        <f t="shared" si="0"/>
        <v>3734000</v>
      </c>
      <c r="G48" s="13">
        <f t="shared" si="1"/>
        <v>34.998594057549909</v>
      </c>
      <c r="H48" s="13">
        <f t="shared" si="8"/>
        <v>8797000</v>
      </c>
      <c r="I48" s="13">
        <f>(E48-D48)/D48%</f>
        <v>61.077553287509545</v>
      </c>
    </row>
    <row r="49" spans="1:9" ht="24" x14ac:dyDescent="0.6">
      <c r="A49" s="69"/>
      <c r="B49" s="11" t="s">
        <v>23</v>
      </c>
      <c r="C49" s="12">
        <v>8367000</v>
      </c>
      <c r="D49" s="12">
        <v>11295000</v>
      </c>
      <c r="E49" s="12">
        <v>18200000</v>
      </c>
      <c r="F49" s="12">
        <f t="shared" si="0"/>
        <v>2928000</v>
      </c>
      <c r="G49" s="13">
        <f t="shared" si="1"/>
        <v>34.994621728218</v>
      </c>
      <c r="H49" s="13">
        <f t="shared" si="8"/>
        <v>6905000</v>
      </c>
      <c r="I49" s="13">
        <f t="shared" ref="I49:I51" si="10">(E49-D49)/D49%</f>
        <v>61.133244798583441</v>
      </c>
    </row>
    <row r="50" spans="1:9" ht="24" x14ac:dyDescent="0.6">
      <c r="A50" s="69"/>
      <c r="B50" s="11" t="s">
        <v>24</v>
      </c>
      <c r="C50" s="12">
        <v>21339000</v>
      </c>
      <c r="D50" s="12">
        <v>28808000</v>
      </c>
      <c r="E50" s="12">
        <v>46410000</v>
      </c>
      <c r="F50" s="12">
        <f t="shared" si="0"/>
        <v>7469000</v>
      </c>
      <c r="G50" s="13">
        <f t="shared" si="1"/>
        <v>35.001640189324711</v>
      </c>
      <c r="H50" s="13">
        <f t="shared" si="8"/>
        <v>17602000</v>
      </c>
      <c r="I50" s="13">
        <f t="shared" si="10"/>
        <v>61.101083032490976</v>
      </c>
    </row>
    <row r="51" spans="1:9" ht="24" x14ac:dyDescent="0.6">
      <c r="A51" s="69"/>
      <c r="B51" s="11" t="s">
        <v>25</v>
      </c>
      <c r="C51" s="12">
        <v>23463000</v>
      </c>
      <c r="D51" s="12">
        <v>31675000</v>
      </c>
      <c r="E51" s="12">
        <v>51030000</v>
      </c>
      <c r="F51" s="12">
        <f t="shared" si="0"/>
        <v>8212000</v>
      </c>
      <c r="G51" s="13">
        <f t="shared" si="1"/>
        <v>34.999786898521073</v>
      </c>
      <c r="H51" s="13">
        <f t="shared" si="8"/>
        <v>19355000</v>
      </c>
      <c r="I51" s="13">
        <f t="shared" si="10"/>
        <v>61.104972375690608</v>
      </c>
    </row>
    <row r="52" spans="1:9" ht="15.75" thickBot="1" x14ac:dyDescent="0.3"/>
    <row r="53" spans="1:9" ht="20.25" customHeight="1" x14ac:dyDescent="0.25">
      <c r="B53" s="3" t="s">
        <v>30</v>
      </c>
      <c r="C53" s="41"/>
    </row>
    <row r="54" spans="1:9" ht="15.75" x14ac:dyDescent="0.25">
      <c r="B54" s="33"/>
      <c r="C54"/>
    </row>
    <row r="55" spans="1:9" ht="15.75" x14ac:dyDescent="0.25">
      <c r="B55" s="34"/>
      <c r="C55"/>
    </row>
    <row r="56" spans="1:9" ht="16.5" thickBot="1" x14ac:dyDescent="0.3">
      <c r="B56" s="35"/>
      <c r="C56"/>
    </row>
    <row r="57" spans="1:9" ht="32.25" thickBot="1" x14ac:dyDescent="0.3">
      <c r="B57" s="40" t="s">
        <v>58</v>
      </c>
      <c r="C57" s="42"/>
    </row>
    <row r="58" spans="1:9" ht="32.25" thickBot="1" x14ac:dyDescent="0.3">
      <c r="B58" s="40" t="s">
        <v>184</v>
      </c>
      <c r="C58" s="42"/>
    </row>
  </sheetData>
  <mergeCells count="6">
    <mergeCell ref="A1:I3"/>
    <mergeCell ref="A35:A38"/>
    <mergeCell ref="A39:A51"/>
    <mergeCell ref="A31:A34"/>
    <mergeCell ref="A5:A21"/>
    <mergeCell ref="A23:A30"/>
  </mergeCells>
  <printOptions horizontalCentered="1" verticalCentered="1"/>
  <pageMargins left="0" right="0" top="0" bottom="0" header="0" footer="0"/>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52"/>
  <sheetViews>
    <sheetView rightToLeft="1" topLeftCell="A37" zoomScaleNormal="100" workbookViewId="0">
      <selection activeCell="B54" sqref="B54"/>
    </sheetView>
  </sheetViews>
  <sheetFormatPr defaultRowHeight="15" x14ac:dyDescent="0.25"/>
  <cols>
    <col min="1" max="1" width="19.7109375" bestFit="1" customWidth="1"/>
    <col min="2" max="2" width="52.7109375" style="19" customWidth="1"/>
    <col min="3" max="3" width="15" style="19" customWidth="1"/>
    <col min="4" max="4" width="15" bestFit="1" customWidth="1"/>
    <col min="5" max="5" width="14.7109375" bestFit="1" customWidth="1"/>
    <col min="6" max="7" width="14.7109375" customWidth="1"/>
    <col min="8" max="8" width="16.42578125" bestFit="1" customWidth="1"/>
    <col min="9" max="9" width="16.5703125" bestFit="1" customWidth="1"/>
  </cols>
  <sheetData>
    <row r="1" spans="1:10" x14ac:dyDescent="0.25">
      <c r="A1" s="59" t="s">
        <v>158</v>
      </c>
      <c r="B1" s="60"/>
      <c r="C1" s="60"/>
      <c r="D1" s="60"/>
      <c r="E1" s="60"/>
      <c r="F1" s="60"/>
      <c r="G1" s="60"/>
      <c r="H1" s="60"/>
      <c r="I1" s="61"/>
    </row>
    <row r="2" spans="1:10" x14ac:dyDescent="0.25">
      <c r="A2" s="62"/>
      <c r="B2" s="63"/>
      <c r="C2" s="63"/>
      <c r="D2" s="63"/>
      <c r="E2" s="63"/>
      <c r="F2" s="63"/>
      <c r="G2" s="63"/>
      <c r="H2" s="63"/>
      <c r="I2" s="64"/>
    </row>
    <row r="3" spans="1:10" x14ac:dyDescent="0.25">
      <c r="A3" s="65"/>
      <c r="B3" s="66"/>
      <c r="C3" s="66"/>
      <c r="D3" s="66"/>
      <c r="E3" s="66"/>
      <c r="F3" s="66"/>
      <c r="G3" s="66"/>
      <c r="H3" s="66"/>
      <c r="I3" s="67"/>
    </row>
    <row r="4" spans="1:10" ht="45" x14ac:dyDescent="0.6">
      <c r="A4" s="1" t="s">
        <v>27</v>
      </c>
      <c r="B4" s="20" t="s">
        <v>0</v>
      </c>
      <c r="C4" s="1" t="s">
        <v>138</v>
      </c>
      <c r="D4" s="1" t="s">
        <v>36</v>
      </c>
      <c r="E4" s="1" t="s">
        <v>37</v>
      </c>
      <c r="F4" s="10" t="s">
        <v>142</v>
      </c>
      <c r="G4" s="10" t="s">
        <v>143</v>
      </c>
      <c r="H4" s="10" t="s">
        <v>140</v>
      </c>
      <c r="I4" s="10" t="s">
        <v>141</v>
      </c>
    </row>
    <row r="5" spans="1:10" ht="24" customHeight="1" x14ac:dyDescent="0.6">
      <c r="A5" s="70" t="s">
        <v>35</v>
      </c>
      <c r="B5" s="18" t="s">
        <v>40</v>
      </c>
      <c r="C5" s="13">
        <v>900000</v>
      </c>
      <c r="D5" s="13">
        <v>1260000</v>
      </c>
      <c r="E5" s="13">
        <f>(1.3*770000)+(0.5*2600000)</f>
        <v>2301000</v>
      </c>
      <c r="F5" s="13">
        <f>D5-C5</f>
        <v>360000</v>
      </c>
      <c r="G5" s="13">
        <f>(D5-C5)/C5%</f>
        <v>40</v>
      </c>
      <c r="H5" s="13">
        <f>E5-D5</f>
        <v>1041000</v>
      </c>
      <c r="I5" s="13">
        <f>(E5-D5)/D5%</f>
        <v>82.61904761904762</v>
      </c>
    </row>
    <row r="6" spans="1:10" ht="24" customHeight="1" x14ac:dyDescent="0.6">
      <c r="A6" s="71"/>
      <c r="B6" s="18" t="s">
        <v>41</v>
      </c>
      <c r="C6" s="13">
        <v>900000</v>
      </c>
      <c r="D6" s="13">
        <v>1260000</v>
      </c>
      <c r="E6" s="13">
        <f t="shared" ref="E6" si="0">(1.3*770000)+(0.5*2600000)</f>
        <v>2301000</v>
      </c>
      <c r="F6" s="13">
        <f t="shared" ref="F6:F45" si="1">D6-C6</f>
        <v>360000</v>
      </c>
      <c r="G6" s="13">
        <f t="shared" ref="G6:G45" si="2">(D6-C6)/C6%</f>
        <v>40</v>
      </c>
      <c r="H6" s="13">
        <f t="shared" ref="H6:H21" si="3">E6-D6</f>
        <v>1041000</v>
      </c>
      <c r="I6" s="13">
        <f t="shared" ref="I6:I21" si="4">(E6-D6)/D6%</f>
        <v>82.61904761904762</v>
      </c>
    </row>
    <row r="7" spans="1:10" ht="24" customHeight="1" x14ac:dyDescent="0.6">
      <c r="A7" s="71"/>
      <c r="B7" s="18" t="s">
        <v>42</v>
      </c>
      <c r="C7" s="13">
        <v>900000</v>
      </c>
      <c r="D7" s="13">
        <v>1260000</v>
      </c>
      <c r="E7" s="13">
        <f>(1.3*770000)+(0.5*2600000)</f>
        <v>2301000</v>
      </c>
      <c r="F7" s="13">
        <f t="shared" si="1"/>
        <v>360000</v>
      </c>
      <c r="G7" s="13">
        <f t="shared" si="2"/>
        <v>40</v>
      </c>
      <c r="H7" s="13">
        <f t="shared" si="3"/>
        <v>1041000</v>
      </c>
      <c r="I7" s="13">
        <f t="shared" si="4"/>
        <v>82.61904761904762</v>
      </c>
    </row>
    <row r="8" spans="1:10" ht="24" customHeight="1" x14ac:dyDescent="0.6">
      <c r="A8" s="71"/>
      <c r="B8" s="18" t="s">
        <v>43</v>
      </c>
      <c r="C8" s="13">
        <v>1350000</v>
      </c>
      <c r="D8" s="13">
        <v>1890000</v>
      </c>
      <c r="E8" s="13">
        <f>(1.8*770000)+(0.7*2600000)</f>
        <v>3206000</v>
      </c>
      <c r="F8" s="13">
        <f t="shared" si="1"/>
        <v>540000</v>
      </c>
      <c r="G8" s="13">
        <f t="shared" si="2"/>
        <v>40</v>
      </c>
      <c r="H8" s="13">
        <f t="shared" si="3"/>
        <v>1316000</v>
      </c>
      <c r="I8" s="13">
        <f t="shared" si="4"/>
        <v>69.629629629629633</v>
      </c>
    </row>
    <row r="9" spans="1:10" ht="24" customHeight="1" x14ac:dyDescent="0.6">
      <c r="A9" s="71"/>
      <c r="B9" s="18" t="s">
        <v>44</v>
      </c>
      <c r="C9" s="13">
        <v>1350000</v>
      </c>
      <c r="D9" s="13">
        <v>1890000</v>
      </c>
      <c r="E9" s="13">
        <f>(1.8*770000)+(0.7*2600000)</f>
        <v>3206000</v>
      </c>
      <c r="F9" s="13">
        <f t="shared" si="1"/>
        <v>540000</v>
      </c>
      <c r="G9" s="13">
        <f t="shared" si="2"/>
        <v>40</v>
      </c>
      <c r="H9" s="13">
        <f t="shared" si="3"/>
        <v>1316000</v>
      </c>
      <c r="I9" s="13">
        <f t="shared" si="4"/>
        <v>69.629629629629633</v>
      </c>
    </row>
    <row r="10" spans="1:10" ht="24" customHeight="1" x14ac:dyDescent="0.6">
      <c r="A10" s="71"/>
      <c r="B10" s="18" t="s">
        <v>45</v>
      </c>
      <c r="C10" s="13">
        <v>1350000</v>
      </c>
      <c r="D10" s="13">
        <v>1890000</v>
      </c>
      <c r="E10" s="13">
        <f>(1.8*770000)+(0.7*2600000)</f>
        <v>3206000</v>
      </c>
      <c r="F10" s="13">
        <f t="shared" si="1"/>
        <v>540000</v>
      </c>
      <c r="G10" s="13">
        <f t="shared" si="2"/>
        <v>40</v>
      </c>
      <c r="H10" s="13">
        <f t="shared" si="3"/>
        <v>1316000</v>
      </c>
      <c r="I10" s="13">
        <f t="shared" si="4"/>
        <v>69.629629629629633</v>
      </c>
    </row>
    <row r="11" spans="1:10" ht="24" customHeight="1" x14ac:dyDescent="0.6">
      <c r="A11" s="71"/>
      <c r="B11" s="18" t="s">
        <v>46</v>
      </c>
      <c r="C11" s="13">
        <v>1720000</v>
      </c>
      <c r="D11" s="13">
        <v>2410000</v>
      </c>
      <c r="E11" s="13">
        <f>(2.3*770000)+(0.8*2600000)</f>
        <v>3851000</v>
      </c>
      <c r="F11" s="13">
        <f t="shared" si="1"/>
        <v>690000</v>
      </c>
      <c r="G11" s="13">
        <f t="shared" si="2"/>
        <v>40.116279069767444</v>
      </c>
      <c r="H11" s="13">
        <f t="shared" si="3"/>
        <v>1441000</v>
      </c>
      <c r="I11" s="13">
        <f t="shared" si="4"/>
        <v>59.792531120331951</v>
      </c>
    </row>
    <row r="12" spans="1:10" ht="24" customHeight="1" x14ac:dyDescent="0.6">
      <c r="A12" s="71"/>
      <c r="B12" s="18" t="s">
        <v>47</v>
      </c>
      <c r="C12" s="13">
        <v>1720000</v>
      </c>
      <c r="D12" s="13">
        <v>2410000</v>
      </c>
      <c r="E12" s="13">
        <f>(2.3*770000)+(0.8*2600000)</f>
        <v>3851000</v>
      </c>
      <c r="F12" s="13">
        <f t="shared" si="1"/>
        <v>690000</v>
      </c>
      <c r="G12" s="13">
        <f t="shared" si="2"/>
        <v>40.116279069767444</v>
      </c>
      <c r="H12" s="13">
        <f t="shared" si="3"/>
        <v>1441000</v>
      </c>
      <c r="I12" s="13">
        <f t="shared" si="4"/>
        <v>59.792531120331951</v>
      </c>
    </row>
    <row r="13" spans="1:10" ht="24" customHeight="1" x14ac:dyDescent="0.6">
      <c r="A13" s="71"/>
      <c r="B13" s="18" t="s">
        <v>48</v>
      </c>
      <c r="C13" s="13">
        <v>1790000</v>
      </c>
      <c r="D13" s="13">
        <v>2510000</v>
      </c>
      <c r="E13" s="13">
        <f>(2.3*770000)+(0.8*2600000)</f>
        <v>3851000</v>
      </c>
      <c r="F13" s="13">
        <f t="shared" si="1"/>
        <v>720000</v>
      </c>
      <c r="G13" s="13">
        <f t="shared" si="2"/>
        <v>40.22346368715084</v>
      </c>
      <c r="H13" s="13">
        <f t="shared" si="3"/>
        <v>1341000</v>
      </c>
      <c r="I13" s="13">
        <f t="shared" si="4"/>
        <v>53.426294820717132</v>
      </c>
    </row>
    <row r="14" spans="1:10" ht="24" customHeight="1" x14ac:dyDescent="0.6">
      <c r="A14" s="71"/>
      <c r="B14" s="18" t="s">
        <v>51</v>
      </c>
      <c r="C14" s="13">
        <v>2040000</v>
      </c>
      <c r="D14" s="13">
        <v>2860000</v>
      </c>
      <c r="E14" s="13">
        <f>(2.7*770000)+(0.9*2600000)</f>
        <v>4419000</v>
      </c>
      <c r="F14" s="13">
        <f t="shared" si="1"/>
        <v>820000</v>
      </c>
      <c r="G14" s="13">
        <f t="shared" si="2"/>
        <v>40.196078431372548</v>
      </c>
      <c r="H14" s="13">
        <f t="shared" si="3"/>
        <v>1559000</v>
      </c>
      <c r="I14" s="13">
        <f t="shared" si="4"/>
        <v>54.510489510489514</v>
      </c>
    </row>
    <row r="15" spans="1:10" ht="24" customHeight="1" x14ac:dyDescent="0.6">
      <c r="A15" s="71"/>
      <c r="B15" s="18" t="s">
        <v>52</v>
      </c>
      <c r="C15" s="13">
        <v>2040000</v>
      </c>
      <c r="D15" s="13">
        <v>2860000</v>
      </c>
      <c r="E15" s="13">
        <f>(2.7*770000)+(0.9*2600000)</f>
        <v>4419000</v>
      </c>
      <c r="F15" s="13">
        <f t="shared" si="1"/>
        <v>820000</v>
      </c>
      <c r="G15" s="13">
        <f t="shared" si="2"/>
        <v>40.196078431372548</v>
      </c>
      <c r="H15" s="13">
        <f t="shared" si="3"/>
        <v>1559000</v>
      </c>
      <c r="I15" s="13">
        <f t="shared" si="4"/>
        <v>54.510489510489514</v>
      </c>
    </row>
    <row r="16" spans="1:10" ht="24" customHeight="1" x14ac:dyDescent="0.6">
      <c r="A16" s="71"/>
      <c r="B16" s="18" t="s">
        <v>49</v>
      </c>
      <c r="C16" s="13">
        <v>730000</v>
      </c>
      <c r="D16" s="13">
        <v>1020000</v>
      </c>
      <c r="E16" s="13">
        <f>(1.1*770000)+(0.4*2600000)</f>
        <v>1887000</v>
      </c>
      <c r="F16" s="13">
        <f t="shared" si="1"/>
        <v>290000</v>
      </c>
      <c r="G16" s="13">
        <f t="shared" si="2"/>
        <v>39.726027397260275</v>
      </c>
      <c r="H16" s="13">
        <f t="shared" si="3"/>
        <v>867000</v>
      </c>
      <c r="I16" s="13">
        <f t="shared" si="4"/>
        <v>85</v>
      </c>
      <c r="J16" s="6"/>
    </row>
    <row r="17" spans="1:9" ht="24" customHeight="1" x14ac:dyDescent="0.6">
      <c r="A17" s="71"/>
      <c r="B17" s="18" t="s">
        <v>50</v>
      </c>
      <c r="C17" s="13">
        <v>620000</v>
      </c>
      <c r="D17" s="13">
        <v>870000</v>
      </c>
      <c r="E17" s="13">
        <f>(0.9*770000)+(0.35*2600000)</f>
        <v>1603000</v>
      </c>
      <c r="F17" s="13">
        <f t="shared" si="1"/>
        <v>250000</v>
      </c>
      <c r="G17" s="13">
        <f t="shared" si="2"/>
        <v>40.322580645161288</v>
      </c>
      <c r="H17" s="13">
        <f t="shared" si="3"/>
        <v>733000</v>
      </c>
      <c r="I17" s="13">
        <f t="shared" si="4"/>
        <v>84.252873563218387</v>
      </c>
    </row>
    <row r="18" spans="1:9" s="17" customFormat="1" ht="60.75" customHeight="1" x14ac:dyDescent="0.6">
      <c r="A18" s="71"/>
      <c r="B18" s="56" t="s">
        <v>162</v>
      </c>
      <c r="C18" s="55" t="s">
        <v>56</v>
      </c>
      <c r="D18" s="55" t="s">
        <v>56</v>
      </c>
      <c r="E18" s="49">
        <f>(0.15*2600000)+(0.5*770000)+E8</f>
        <v>3981000</v>
      </c>
      <c r="F18" s="13" t="s">
        <v>160</v>
      </c>
      <c r="G18" s="13" t="s">
        <v>160</v>
      </c>
      <c r="H18" s="49" t="s">
        <v>160</v>
      </c>
      <c r="I18" s="49" t="s">
        <v>160</v>
      </c>
    </row>
    <row r="19" spans="1:9" s="17" customFormat="1" ht="51.75" customHeight="1" x14ac:dyDescent="0.6">
      <c r="A19" s="71"/>
      <c r="B19" s="57" t="s">
        <v>163</v>
      </c>
      <c r="C19" s="55" t="s">
        <v>56</v>
      </c>
      <c r="D19" s="55" t="s">
        <v>56</v>
      </c>
      <c r="E19" s="49">
        <f>(0.15*2600000)+(0.5*770000)+E12</f>
        <v>4626000</v>
      </c>
      <c r="F19" s="13" t="s">
        <v>160</v>
      </c>
      <c r="G19" s="13" t="s">
        <v>160</v>
      </c>
      <c r="H19" s="49" t="s">
        <v>160</v>
      </c>
      <c r="I19" s="49" t="s">
        <v>160</v>
      </c>
    </row>
    <row r="20" spans="1:9" ht="35.25" customHeight="1" x14ac:dyDescent="0.6">
      <c r="A20" s="71"/>
      <c r="B20" s="56" t="s">
        <v>164</v>
      </c>
      <c r="C20" s="55" t="s">
        <v>161</v>
      </c>
      <c r="D20" s="13">
        <f>D8*120%</f>
        <v>2268000</v>
      </c>
      <c r="E20" s="49">
        <f>(0.15*2600000)+(0.5*770000)+E8</f>
        <v>3981000</v>
      </c>
      <c r="F20" s="13" t="s">
        <v>160</v>
      </c>
      <c r="G20" s="13" t="s">
        <v>160</v>
      </c>
      <c r="H20" s="13">
        <f t="shared" si="3"/>
        <v>1713000</v>
      </c>
      <c r="I20" s="13">
        <f t="shared" si="4"/>
        <v>75.529100529100532</v>
      </c>
    </row>
    <row r="21" spans="1:9" ht="35.25" customHeight="1" x14ac:dyDescent="0.6">
      <c r="A21" s="71"/>
      <c r="B21" s="56" t="s">
        <v>165</v>
      </c>
      <c r="C21" s="55" t="s">
        <v>161</v>
      </c>
      <c r="D21" s="13">
        <f>D11*120%</f>
        <v>2892000</v>
      </c>
      <c r="E21" s="49">
        <f>(0.15*2600000)+(0.5*770000)+E11</f>
        <v>4626000</v>
      </c>
      <c r="F21" s="13" t="s">
        <v>160</v>
      </c>
      <c r="G21" s="13" t="s">
        <v>160</v>
      </c>
      <c r="H21" s="13">
        <f t="shared" si="3"/>
        <v>1734000</v>
      </c>
      <c r="I21" s="13">
        <f t="shared" si="4"/>
        <v>59.95850622406639</v>
      </c>
    </row>
    <row r="22" spans="1:9" ht="23.25" customHeight="1" x14ac:dyDescent="0.6">
      <c r="A22" s="71"/>
      <c r="B22" s="18" t="s">
        <v>60</v>
      </c>
      <c r="C22" s="13">
        <f>115%*C5</f>
        <v>1034999.9999999999</v>
      </c>
      <c r="D22" s="13">
        <f>D5*115%</f>
        <v>1449000</v>
      </c>
      <c r="E22" s="13">
        <f>(0.4*770000)+E5</f>
        <v>2609000</v>
      </c>
      <c r="F22" s="13">
        <f>D22-C22</f>
        <v>414000.00000000012</v>
      </c>
      <c r="G22" s="13">
        <f t="shared" si="2"/>
        <v>40.000000000000021</v>
      </c>
      <c r="H22" s="13">
        <f t="shared" ref="H22:H45" si="5">E22-D22</f>
        <v>1160000</v>
      </c>
      <c r="I22" s="13">
        <f t="shared" ref="I22:I45" si="6">(E22-D22)/D22%</f>
        <v>80.055210489993101</v>
      </c>
    </row>
    <row r="23" spans="1:9" ht="38.25" x14ac:dyDescent="0.6">
      <c r="A23" s="70" t="s">
        <v>6</v>
      </c>
      <c r="B23" s="48" t="s">
        <v>31</v>
      </c>
      <c r="C23" s="8">
        <v>697000</v>
      </c>
      <c r="D23" s="8">
        <v>1011000</v>
      </c>
      <c r="E23" s="8">
        <v>1370000</v>
      </c>
      <c r="F23" s="8">
        <f t="shared" si="1"/>
        <v>314000</v>
      </c>
      <c r="G23" s="8">
        <f t="shared" si="2"/>
        <v>45.05021520803443</v>
      </c>
      <c r="H23" s="8">
        <f t="shared" si="5"/>
        <v>359000</v>
      </c>
      <c r="I23" s="8">
        <f t="shared" si="6"/>
        <v>35.509396636993074</v>
      </c>
    </row>
    <row r="24" spans="1:9" ht="21.75" customHeight="1" x14ac:dyDescent="0.6">
      <c r="A24" s="71"/>
      <c r="B24" s="48" t="s">
        <v>167</v>
      </c>
      <c r="C24" s="8">
        <v>392000</v>
      </c>
      <c r="D24" s="8">
        <v>568000</v>
      </c>
      <c r="E24" s="8" t="s">
        <v>160</v>
      </c>
      <c r="F24" s="8">
        <f t="shared" si="1"/>
        <v>176000</v>
      </c>
      <c r="G24" s="8">
        <f t="shared" si="2"/>
        <v>44.897959183673471</v>
      </c>
      <c r="H24" s="8" t="s">
        <v>160</v>
      </c>
      <c r="I24" s="8" t="s">
        <v>160</v>
      </c>
    </row>
    <row r="25" spans="1:9" ht="21.75" customHeight="1" x14ac:dyDescent="0.6">
      <c r="A25" s="71"/>
      <c r="B25" s="58" t="s">
        <v>180</v>
      </c>
      <c r="C25" s="8" t="s">
        <v>160</v>
      </c>
      <c r="D25" s="8" t="s">
        <v>160</v>
      </c>
      <c r="E25" s="8">
        <v>770000</v>
      </c>
      <c r="F25" s="8" t="s">
        <v>160</v>
      </c>
      <c r="G25" s="8" t="s">
        <v>160</v>
      </c>
      <c r="H25" s="8" t="s">
        <v>160</v>
      </c>
      <c r="I25" s="8" t="s">
        <v>160</v>
      </c>
    </row>
    <row r="26" spans="1:9" ht="22.5" customHeight="1" x14ac:dyDescent="0.6">
      <c r="A26" s="75"/>
      <c r="B26" s="48" t="s">
        <v>9</v>
      </c>
      <c r="C26" s="8">
        <v>434000</v>
      </c>
      <c r="D26" s="8">
        <v>629000</v>
      </c>
      <c r="E26" s="8">
        <v>850000</v>
      </c>
      <c r="F26" s="8">
        <f t="shared" si="1"/>
        <v>195000</v>
      </c>
      <c r="G26" s="8">
        <f t="shared" si="2"/>
        <v>44.930875576036868</v>
      </c>
      <c r="H26" s="8">
        <f t="shared" si="5"/>
        <v>221000</v>
      </c>
      <c r="I26" s="8">
        <f t="shared" si="6"/>
        <v>35.135135135135137</v>
      </c>
    </row>
    <row r="27" spans="1:9" ht="24" x14ac:dyDescent="0.6">
      <c r="A27" s="70" t="s">
        <v>10</v>
      </c>
      <c r="B27" s="18" t="s">
        <v>10</v>
      </c>
      <c r="C27" s="13">
        <v>2106000</v>
      </c>
      <c r="D27" s="13">
        <v>2843000</v>
      </c>
      <c r="E27" s="13">
        <v>4350000</v>
      </c>
      <c r="F27" s="13">
        <f t="shared" si="1"/>
        <v>737000</v>
      </c>
      <c r="G27" s="13">
        <f t="shared" si="2"/>
        <v>34.995251661918331</v>
      </c>
      <c r="H27" s="13">
        <f t="shared" si="5"/>
        <v>1507000</v>
      </c>
      <c r="I27" s="13">
        <f t="shared" si="6"/>
        <v>53.00738656348927</v>
      </c>
    </row>
    <row r="28" spans="1:9" ht="24" x14ac:dyDescent="0.6">
      <c r="A28" s="71"/>
      <c r="B28" s="18" t="s">
        <v>181</v>
      </c>
      <c r="C28" s="13">
        <v>1316000</v>
      </c>
      <c r="D28" s="13">
        <v>1777000</v>
      </c>
      <c r="E28" s="13" t="s">
        <v>160</v>
      </c>
      <c r="F28" s="13">
        <f t="shared" si="1"/>
        <v>461000</v>
      </c>
      <c r="G28" s="13">
        <f t="shared" si="2"/>
        <v>35.030395136778118</v>
      </c>
      <c r="H28" s="13" t="s">
        <v>160</v>
      </c>
      <c r="I28" s="13" t="s">
        <v>160</v>
      </c>
    </row>
    <row r="29" spans="1:9" ht="24" x14ac:dyDescent="0.6">
      <c r="A29" s="71"/>
      <c r="B29" s="18" t="s">
        <v>182</v>
      </c>
      <c r="C29" s="13" t="s">
        <v>160</v>
      </c>
      <c r="D29" s="13" t="s">
        <v>160</v>
      </c>
      <c r="E29" s="13">
        <v>2750000</v>
      </c>
      <c r="F29" s="13" t="s">
        <v>160</v>
      </c>
      <c r="G29" s="13" t="s">
        <v>160</v>
      </c>
      <c r="H29" s="13" t="s">
        <v>160</v>
      </c>
      <c r="I29" s="13" t="s">
        <v>160</v>
      </c>
    </row>
    <row r="30" spans="1:9" ht="24" x14ac:dyDescent="0.6">
      <c r="A30" s="71"/>
      <c r="B30" s="18" t="s">
        <v>183</v>
      </c>
      <c r="C30" s="13">
        <v>1263000</v>
      </c>
      <c r="D30" s="13">
        <v>1705000</v>
      </c>
      <c r="E30" s="13">
        <v>2600000</v>
      </c>
      <c r="F30" s="13">
        <f t="shared" si="1"/>
        <v>442000</v>
      </c>
      <c r="G30" s="13">
        <f t="shared" si="2"/>
        <v>34.996041171813147</v>
      </c>
      <c r="H30" s="13">
        <f t="shared" si="5"/>
        <v>895000</v>
      </c>
      <c r="I30" s="13">
        <f t="shared" si="6"/>
        <v>52.492668621700879</v>
      </c>
    </row>
    <row r="31" spans="1:9" ht="24" x14ac:dyDescent="0.6">
      <c r="A31" s="75"/>
      <c r="B31" s="18" t="s">
        <v>11</v>
      </c>
      <c r="C31" s="13">
        <v>860000</v>
      </c>
      <c r="D31" s="13">
        <v>1161000</v>
      </c>
      <c r="E31" s="13">
        <v>1900000</v>
      </c>
      <c r="F31" s="13">
        <f t="shared" si="1"/>
        <v>301000</v>
      </c>
      <c r="G31" s="13">
        <f t="shared" si="2"/>
        <v>35</v>
      </c>
      <c r="H31" s="13">
        <f t="shared" si="5"/>
        <v>739000</v>
      </c>
      <c r="I31" s="13">
        <f t="shared" si="6"/>
        <v>63.6520241171404</v>
      </c>
    </row>
    <row r="32" spans="1:9" ht="24" x14ac:dyDescent="0.6">
      <c r="A32" s="15"/>
      <c r="B32" s="18" t="s">
        <v>12</v>
      </c>
      <c r="C32" s="13">
        <v>326000</v>
      </c>
      <c r="D32" s="13">
        <v>554000</v>
      </c>
      <c r="E32" s="13">
        <v>1000000</v>
      </c>
      <c r="F32" s="13">
        <f t="shared" si="1"/>
        <v>228000</v>
      </c>
      <c r="G32" s="13">
        <f t="shared" si="2"/>
        <v>69.938650306748471</v>
      </c>
      <c r="H32" s="13">
        <f t="shared" si="5"/>
        <v>446000</v>
      </c>
      <c r="I32" s="13">
        <f t="shared" si="6"/>
        <v>80.505415162454867</v>
      </c>
    </row>
    <row r="33" spans="1:10" ht="24" x14ac:dyDescent="0.6">
      <c r="A33" s="68" t="s">
        <v>26</v>
      </c>
      <c r="B33" s="48" t="s">
        <v>13</v>
      </c>
      <c r="C33" s="8">
        <v>42606000</v>
      </c>
      <c r="D33" s="8">
        <v>57518000</v>
      </c>
      <c r="E33" s="8">
        <v>90020000</v>
      </c>
      <c r="F33" s="8">
        <f t="shared" si="1"/>
        <v>14912000</v>
      </c>
      <c r="G33" s="8">
        <f t="shared" si="2"/>
        <v>34.999765291273526</v>
      </c>
      <c r="H33" s="8">
        <f t="shared" si="5"/>
        <v>32502000</v>
      </c>
      <c r="I33" s="8">
        <f t="shared" si="6"/>
        <v>56.507528078166835</v>
      </c>
    </row>
    <row r="34" spans="1:10" ht="24" x14ac:dyDescent="0.6">
      <c r="A34" s="68"/>
      <c r="B34" s="48" t="s">
        <v>14</v>
      </c>
      <c r="C34" s="8">
        <v>33135000</v>
      </c>
      <c r="D34" s="8">
        <v>44732000</v>
      </c>
      <c r="E34" s="8">
        <v>70010000</v>
      </c>
      <c r="F34" s="8">
        <f t="shared" si="1"/>
        <v>11597000</v>
      </c>
      <c r="G34" s="8">
        <f t="shared" si="2"/>
        <v>34.999245510789194</v>
      </c>
      <c r="H34" s="8">
        <f t="shared" si="5"/>
        <v>25278000</v>
      </c>
      <c r="I34" s="8">
        <f t="shared" si="6"/>
        <v>56.509881069480464</v>
      </c>
    </row>
    <row r="35" spans="1:10" ht="20.25" customHeight="1" x14ac:dyDescent="0.6">
      <c r="A35" s="68"/>
      <c r="B35" s="48" t="s">
        <v>15</v>
      </c>
      <c r="C35" s="8">
        <v>23668000</v>
      </c>
      <c r="D35" s="8">
        <v>31952000</v>
      </c>
      <c r="E35" s="8">
        <v>50000000</v>
      </c>
      <c r="F35" s="8">
        <f>D35-C35</f>
        <v>8284000</v>
      </c>
      <c r="G35" s="8">
        <f t="shared" si="2"/>
        <v>35.000845022815618</v>
      </c>
      <c r="H35" s="8">
        <f t="shared" si="5"/>
        <v>18048000</v>
      </c>
      <c r="I35" s="8">
        <f>(E35-D35)/D35%</f>
        <v>56.484727090635957</v>
      </c>
      <c r="J35" s="9"/>
    </row>
    <row r="36" spans="1:10" ht="21" customHeight="1" x14ac:dyDescent="0.6">
      <c r="A36" s="68"/>
      <c r="B36" s="48" t="s">
        <v>16</v>
      </c>
      <c r="C36" s="8">
        <v>4732000</v>
      </c>
      <c r="D36" s="8">
        <v>6388000</v>
      </c>
      <c r="E36" s="8">
        <v>10000000</v>
      </c>
      <c r="F36" s="8">
        <f t="shared" si="1"/>
        <v>1656000</v>
      </c>
      <c r="G36" s="8">
        <f t="shared" si="2"/>
        <v>34.99577345731192</v>
      </c>
      <c r="H36" s="8">
        <f t="shared" si="5"/>
        <v>3612000</v>
      </c>
      <c r="I36" s="8">
        <f t="shared" si="6"/>
        <v>56.543519098309332</v>
      </c>
    </row>
    <row r="37" spans="1:10" ht="24" x14ac:dyDescent="0.6">
      <c r="A37" s="68"/>
      <c r="B37" s="48" t="s">
        <v>17</v>
      </c>
      <c r="C37" s="8">
        <v>16572000</v>
      </c>
      <c r="D37" s="8">
        <v>22372000</v>
      </c>
      <c r="E37" s="8">
        <v>35010000</v>
      </c>
      <c r="F37" s="8">
        <f t="shared" si="1"/>
        <v>5800000</v>
      </c>
      <c r="G37" s="8">
        <f t="shared" si="2"/>
        <v>34.998793145063964</v>
      </c>
      <c r="H37" s="8">
        <f t="shared" si="5"/>
        <v>12638000</v>
      </c>
      <c r="I37" s="8">
        <f t="shared" si="6"/>
        <v>56.490255676738784</v>
      </c>
    </row>
    <row r="38" spans="1:10" ht="24" x14ac:dyDescent="0.6">
      <c r="A38" s="68"/>
      <c r="B38" s="48" t="s">
        <v>18</v>
      </c>
      <c r="C38" s="8">
        <v>23668000</v>
      </c>
      <c r="D38" s="8">
        <v>31952000</v>
      </c>
      <c r="E38" s="8">
        <v>50000000</v>
      </c>
      <c r="F38" s="8">
        <f t="shared" si="1"/>
        <v>8284000</v>
      </c>
      <c r="G38" s="8">
        <f t="shared" si="2"/>
        <v>35.000845022815618</v>
      </c>
      <c r="H38" s="8">
        <f t="shared" si="5"/>
        <v>18048000</v>
      </c>
      <c r="I38" s="8">
        <f t="shared" si="6"/>
        <v>56.484727090635957</v>
      </c>
    </row>
    <row r="39" spans="1:10" ht="24" x14ac:dyDescent="0.6">
      <c r="A39" s="68"/>
      <c r="B39" s="48" t="s">
        <v>19</v>
      </c>
      <c r="C39" s="8">
        <v>23668000</v>
      </c>
      <c r="D39" s="8">
        <v>31952000</v>
      </c>
      <c r="E39" s="8">
        <v>50000000</v>
      </c>
      <c r="F39" s="8">
        <f t="shared" si="1"/>
        <v>8284000</v>
      </c>
      <c r="G39" s="8">
        <f t="shared" si="2"/>
        <v>35.000845022815618</v>
      </c>
      <c r="H39" s="8">
        <f t="shared" si="5"/>
        <v>18048000</v>
      </c>
      <c r="I39" s="8">
        <f t="shared" si="6"/>
        <v>56.484727090635957</v>
      </c>
    </row>
    <row r="40" spans="1:10" ht="24" x14ac:dyDescent="0.6">
      <c r="A40" s="68"/>
      <c r="B40" s="48" t="s">
        <v>20</v>
      </c>
      <c r="C40" s="8">
        <v>71005000</v>
      </c>
      <c r="D40" s="8">
        <v>95857000</v>
      </c>
      <c r="E40" s="8">
        <v>150020000</v>
      </c>
      <c r="F40" s="8">
        <f t="shared" si="1"/>
        <v>24852000</v>
      </c>
      <c r="G40" s="8">
        <f t="shared" si="2"/>
        <v>35.000352087881133</v>
      </c>
      <c r="H40" s="8">
        <f t="shared" si="5"/>
        <v>54163000</v>
      </c>
      <c r="I40" s="8">
        <f t="shared" si="6"/>
        <v>56.503959022293628</v>
      </c>
    </row>
    <row r="41" spans="1:10" ht="38.25" x14ac:dyDescent="0.6">
      <c r="A41" s="68"/>
      <c r="B41" s="48" t="s">
        <v>21</v>
      </c>
      <c r="C41" s="8">
        <v>54438000</v>
      </c>
      <c r="D41" s="8">
        <v>73491000</v>
      </c>
      <c r="E41" s="8">
        <v>115010000</v>
      </c>
      <c r="F41" s="8">
        <f t="shared" si="1"/>
        <v>19053000</v>
      </c>
      <c r="G41" s="8">
        <f t="shared" si="2"/>
        <v>34.999448914361295</v>
      </c>
      <c r="H41" s="8">
        <f t="shared" si="5"/>
        <v>41519000</v>
      </c>
      <c r="I41" s="8">
        <f t="shared" si="6"/>
        <v>56.49535317249731</v>
      </c>
    </row>
    <row r="42" spans="1:10" ht="24" x14ac:dyDescent="0.6">
      <c r="A42" s="68"/>
      <c r="B42" s="48" t="s">
        <v>22</v>
      </c>
      <c r="C42" s="8">
        <v>54438000</v>
      </c>
      <c r="D42" s="8">
        <v>73491000</v>
      </c>
      <c r="E42" s="8">
        <v>115010000</v>
      </c>
      <c r="F42" s="8">
        <f t="shared" si="1"/>
        <v>19053000</v>
      </c>
      <c r="G42" s="8">
        <f t="shared" si="2"/>
        <v>34.999448914361295</v>
      </c>
      <c r="H42" s="8">
        <f t="shared" si="5"/>
        <v>41519000</v>
      </c>
      <c r="I42" s="8">
        <f t="shared" si="6"/>
        <v>56.49535317249731</v>
      </c>
    </row>
    <row r="43" spans="1:10" ht="24" x14ac:dyDescent="0.6">
      <c r="A43" s="68"/>
      <c r="B43" s="48" t="s">
        <v>23</v>
      </c>
      <c r="C43" s="8">
        <v>42602000</v>
      </c>
      <c r="D43" s="8">
        <v>57513000</v>
      </c>
      <c r="E43" s="8">
        <v>90010000</v>
      </c>
      <c r="F43" s="8">
        <f t="shared" si="1"/>
        <v>14911000</v>
      </c>
      <c r="G43" s="8">
        <f t="shared" si="2"/>
        <v>35.000704192291444</v>
      </c>
      <c r="H43" s="8">
        <f t="shared" si="5"/>
        <v>32497000</v>
      </c>
      <c r="I43" s="8">
        <f t="shared" si="6"/>
        <v>56.503746978943894</v>
      </c>
    </row>
    <row r="44" spans="1:10" ht="24" x14ac:dyDescent="0.6">
      <c r="A44" s="68"/>
      <c r="B44" s="48" t="s">
        <v>24</v>
      </c>
      <c r="C44" s="8">
        <v>85200000</v>
      </c>
      <c r="D44" s="8">
        <v>115020000</v>
      </c>
      <c r="E44" s="8">
        <v>180010000</v>
      </c>
      <c r="F44" s="8">
        <f t="shared" si="1"/>
        <v>29820000</v>
      </c>
      <c r="G44" s="8">
        <f t="shared" si="2"/>
        <v>35</v>
      </c>
      <c r="H44" s="8">
        <f t="shared" si="5"/>
        <v>64990000</v>
      </c>
      <c r="I44" s="8">
        <f t="shared" si="6"/>
        <v>56.503216831855326</v>
      </c>
    </row>
    <row r="45" spans="1:10" ht="24" x14ac:dyDescent="0.6">
      <c r="A45" s="68"/>
      <c r="B45" s="48" t="s">
        <v>25</v>
      </c>
      <c r="C45" s="8">
        <v>94669000</v>
      </c>
      <c r="D45" s="8">
        <v>127803000</v>
      </c>
      <c r="E45" s="8">
        <v>200010000</v>
      </c>
      <c r="F45" s="8">
        <f t="shared" si="1"/>
        <v>33134000</v>
      </c>
      <c r="G45" s="8">
        <f t="shared" si="2"/>
        <v>34.999841553201151</v>
      </c>
      <c r="H45" s="8">
        <f t="shared" si="5"/>
        <v>72207000</v>
      </c>
      <c r="I45" s="8">
        <f t="shared" si="6"/>
        <v>56.49867374005305</v>
      </c>
    </row>
    <row r="46" spans="1:10" ht="15.75" thickBot="1" x14ac:dyDescent="0.3"/>
    <row r="47" spans="1:10" ht="20.25" customHeight="1" x14ac:dyDescent="0.55000000000000004">
      <c r="B47" s="3" t="s">
        <v>30</v>
      </c>
      <c r="C47" s="43"/>
    </row>
    <row r="48" spans="1:10" ht="15.75" x14ac:dyDescent="0.25">
      <c r="B48" s="33"/>
      <c r="C48" s="44"/>
    </row>
    <row r="49" spans="2:3" ht="15.75" x14ac:dyDescent="0.25">
      <c r="B49" s="34"/>
      <c r="C49" s="44"/>
    </row>
    <row r="50" spans="2:3" ht="16.5" thickBot="1" x14ac:dyDescent="0.3">
      <c r="B50" s="35"/>
    </row>
    <row r="51" spans="2:3" ht="48" thickBot="1" x14ac:dyDescent="0.3">
      <c r="B51" s="40" t="s">
        <v>58</v>
      </c>
    </row>
    <row r="52" spans="2:3" ht="32.25" thickBot="1" x14ac:dyDescent="0.3">
      <c r="B52" s="40" t="s">
        <v>184</v>
      </c>
    </row>
  </sheetData>
  <mergeCells count="5">
    <mergeCell ref="A1:I3"/>
    <mergeCell ref="A5:A22"/>
    <mergeCell ref="A33:A45"/>
    <mergeCell ref="A23:A26"/>
    <mergeCell ref="A27:A31"/>
  </mergeCells>
  <printOptions horizontalCentered="1" verticalCentered="1"/>
  <pageMargins left="0" right="0" top="0" bottom="0" header="0" footer="0"/>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2"/>
  <sheetViews>
    <sheetView rightToLeft="1" topLeftCell="A10" zoomScale="90" zoomScaleNormal="90" workbookViewId="0">
      <selection activeCell="D23" sqref="D23"/>
    </sheetView>
  </sheetViews>
  <sheetFormatPr defaultRowHeight="15" x14ac:dyDescent="0.25"/>
  <cols>
    <col min="2" max="2" width="59.140625" style="5" customWidth="1"/>
    <col min="3" max="3" width="17.7109375" style="5" customWidth="1"/>
    <col min="4" max="4" width="15" bestFit="1" customWidth="1"/>
    <col min="5" max="5" width="14.7109375" bestFit="1" customWidth="1"/>
    <col min="6" max="7" width="14.7109375" customWidth="1"/>
    <col min="8" max="8" width="16.28515625" bestFit="1" customWidth="1"/>
    <col min="9" max="9" width="16.42578125" bestFit="1" customWidth="1"/>
  </cols>
  <sheetData>
    <row r="1" spans="1:9" x14ac:dyDescent="0.25">
      <c r="A1" s="59" t="s">
        <v>157</v>
      </c>
      <c r="B1" s="60"/>
      <c r="C1" s="60"/>
      <c r="D1" s="60"/>
      <c r="E1" s="60"/>
      <c r="F1" s="60"/>
      <c r="G1" s="60"/>
      <c r="H1" s="60"/>
      <c r="I1" s="61"/>
    </row>
    <row r="2" spans="1:9" x14ac:dyDescent="0.25">
      <c r="A2" s="62"/>
      <c r="B2" s="63"/>
      <c r="C2" s="63"/>
      <c r="D2" s="63"/>
      <c r="E2" s="63"/>
      <c r="F2" s="63"/>
      <c r="G2" s="63"/>
      <c r="H2" s="63"/>
      <c r="I2" s="64"/>
    </row>
    <row r="3" spans="1:9" x14ac:dyDescent="0.25">
      <c r="A3" s="65"/>
      <c r="B3" s="66"/>
      <c r="C3" s="66"/>
      <c r="D3" s="66"/>
      <c r="E3" s="66"/>
      <c r="F3" s="66"/>
      <c r="G3" s="66"/>
      <c r="H3" s="66"/>
      <c r="I3" s="67"/>
    </row>
    <row r="4" spans="1:9" ht="45" x14ac:dyDescent="0.25">
      <c r="A4" s="1" t="s">
        <v>27</v>
      </c>
      <c r="B4" s="4" t="s">
        <v>0</v>
      </c>
      <c r="C4" s="10" t="s">
        <v>138</v>
      </c>
      <c r="D4" s="1" t="s">
        <v>54</v>
      </c>
      <c r="E4" s="1" t="s">
        <v>55</v>
      </c>
      <c r="F4" s="10" t="s">
        <v>142</v>
      </c>
      <c r="G4" s="10" t="s">
        <v>143</v>
      </c>
      <c r="H4" s="10" t="s">
        <v>140</v>
      </c>
      <c r="I4" s="10" t="s">
        <v>141</v>
      </c>
    </row>
    <row r="5" spans="1:9" ht="24" x14ac:dyDescent="0.6">
      <c r="A5" s="70" t="s">
        <v>35</v>
      </c>
      <c r="B5" s="11" t="s">
        <v>40</v>
      </c>
      <c r="C5" s="12">
        <v>400000</v>
      </c>
      <c r="D5" s="12">
        <v>560000</v>
      </c>
      <c r="E5" s="12">
        <f>(1.3*770000)+(0.5*1050000)</f>
        <v>1526000</v>
      </c>
      <c r="F5" s="12">
        <f>D5-C5</f>
        <v>160000</v>
      </c>
      <c r="G5" s="12">
        <f>(D5-C5)/C5%</f>
        <v>40</v>
      </c>
      <c r="H5" s="13">
        <f>E5-D5</f>
        <v>966000</v>
      </c>
      <c r="I5" s="13">
        <f>(E5-D5)/D5%</f>
        <v>172.5</v>
      </c>
    </row>
    <row r="6" spans="1:9" ht="24" x14ac:dyDescent="0.6">
      <c r="A6" s="71"/>
      <c r="B6" s="11" t="s">
        <v>41</v>
      </c>
      <c r="C6" s="12">
        <v>400000</v>
      </c>
      <c r="D6" s="12">
        <v>560000</v>
      </c>
      <c r="E6" s="12">
        <f>(1.3*770000)+(0.5*1050000)</f>
        <v>1526000</v>
      </c>
      <c r="F6" s="12">
        <f t="shared" ref="F6:F45" si="0">D6-C6</f>
        <v>160000</v>
      </c>
      <c r="G6" s="12">
        <f t="shared" ref="G6:G45" si="1">(D6-C6)/C6%</f>
        <v>40</v>
      </c>
      <c r="H6" s="13">
        <f t="shared" ref="H6:H17" si="2">E6-D6</f>
        <v>966000</v>
      </c>
      <c r="I6" s="13">
        <f t="shared" ref="I6:I43" si="3">(E6-D6)/D6%</f>
        <v>172.5</v>
      </c>
    </row>
    <row r="7" spans="1:9" ht="24" x14ac:dyDescent="0.6">
      <c r="A7" s="71"/>
      <c r="B7" s="11" t="s">
        <v>42</v>
      </c>
      <c r="C7" s="12">
        <v>400000</v>
      </c>
      <c r="D7" s="12">
        <v>560000</v>
      </c>
      <c r="E7" s="12">
        <f>(1.3*770000)+(0.5*1050000)</f>
        <v>1526000</v>
      </c>
      <c r="F7" s="12">
        <f t="shared" si="0"/>
        <v>160000</v>
      </c>
      <c r="G7" s="12">
        <f t="shared" si="1"/>
        <v>40</v>
      </c>
      <c r="H7" s="13">
        <f t="shared" si="2"/>
        <v>966000</v>
      </c>
      <c r="I7" s="13">
        <f t="shared" si="3"/>
        <v>172.5</v>
      </c>
    </row>
    <row r="8" spans="1:9" ht="24" x14ac:dyDescent="0.6">
      <c r="A8" s="71"/>
      <c r="B8" s="11" t="s">
        <v>43</v>
      </c>
      <c r="C8" s="12">
        <v>660000</v>
      </c>
      <c r="D8" s="12">
        <v>920000</v>
      </c>
      <c r="E8" s="12">
        <f>(1.8*770000)+(0.7*1050000)</f>
        <v>2121000</v>
      </c>
      <c r="F8" s="12">
        <f t="shared" si="0"/>
        <v>260000</v>
      </c>
      <c r="G8" s="12">
        <f t="shared" si="1"/>
        <v>39.393939393939391</v>
      </c>
      <c r="H8" s="13">
        <f t="shared" si="2"/>
        <v>1201000</v>
      </c>
      <c r="I8" s="13">
        <f t="shared" si="3"/>
        <v>130.54347826086956</v>
      </c>
    </row>
    <row r="9" spans="1:9" ht="24" x14ac:dyDescent="0.6">
      <c r="A9" s="71"/>
      <c r="B9" s="11" t="s">
        <v>44</v>
      </c>
      <c r="C9" s="12">
        <v>660000</v>
      </c>
      <c r="D9" s="12">
        <v>920000</v>
      </c>
      <c r="E9" s="12">
        <f>(1.8*770000)+(0.7*1050000)</f>
        <v>2121000</v>
      </c>
      <c r="F9" s="12">
        <f t="shared" si="0"/>
        <v>260000</v>
      </c>
      <c r="G9" s="12">
        <f t="shared" si="1"/>
        <v>39.393939393939391</v>
      </c>
      <c r="H9" s="13">
        <f t="shared" si="2"/>
        <v>1201000</v>
      </c>
      <c r="I9" s="13">
        <f t="shared" si="3"/>
        <v>130.54347826086956</v>
      </c>
    </row>
    <row r="10" spans="1:9" ht="24" x14ac:dyDescent="0.6">
      <c r="A10" s="71"/>
      <c r="B10" s="11" t="s">
        <v>45</v>
      </c>
      <c r="C10" s="12">
        <v>660000</v>
      </c>
      <c r="D10" s="12">
        <v>920000</v>
      </c>
      <c r="E10" s="12">
        <f>(1.8*770000)+(0.7*1050000)</f>
        <v>2121000</v>
      </c>
      <c r="F10" s="12">
        <f t="shared" si="0"/>
        <v>260000</v>
      </c>
      <c r="G10" s="12">
        <f t="shared" si="1"/>
        <v>39.393939393939391</v>
      </c>
      <c r="H10" s="13">
        <f t="shared" si="2"/>
        <v>1201000</v>
      </c>
      <c r="I10" s="13">
        <f t="shared" si="3"/>
        <v>130.54347826086956</v>
      </c>
    </row>
    <row r="11" spans="1:9" ht="24" x14ac:dyDescent="0.6">
      <c r="A11" s="71"/>
      <c r="B11" s="11" t="s">
        <v>46</v>
      </c>
      <c r="C11" s="12">
        <v>790000</v>
      </c>
      <c r="D11" s="12">
        <v>1110000</v>
      </c>
      <c r="E11" s="12">
        <f>(2.3*770000)+(0.8*1050000)</f>
        <v>2611000</v>
      </c>
      <c r="F11" s="12">
        <f t="shared" si="0"/>
        <v>320000</v>
      </c>
      <c r="G11" s="12">
        <f t="shared" si="1"/>
        <v>40.506329113924053</v>
      </c>
      <c r="H11" s="13">
        <f t="shared" si="2"/>
        <v>1501000</v>
      </c>
      <c r="I11" s="13">
        <f t="shared" si="3"/>
        <v>135.22522522522522</v>
      </c>
    </row>
    <row r="12" spans="1:9" ht="24" x14ac:dyDescent="0.6">
      <c r="A12" s="71"/>
      <c r="B12" s="11" t="s">
        <v>47</v>
      </c>
      <c r="C12" s="12">
        <v>790000</v>
      </c>
      <c r="D12" s="12">
        <v>1110000</v>
      </c>
      <c r="E12" s="12">
        <f>(2.3*770000)+(0.8*1050000)</f>
        <v>2611000</v>
      </c>
      <c r="F12" s="12">
        <f t="shared" si="0"/>
        <v>320000</v>
      </c>
      <c r="G12" s="12">
        <f t="shared" si="1"/>
        <v>40.506329113924053</v>
      </c>
      <c r="H12" s="13">
        <f t="shared" si="2"/>
        <v>1501000</v>
      </c>
      <c r="I12" s="13">
        <f t="shared" si="3"/>
        <v>135.22522522522522</v>
      </c>
    </row>
    <row r="13" spans="1:9" ht="24" x14ac:dyDescent="0.6">
      <c r="A13" s="71"/>
      <c r="B13" s="11" t="s">
        <v>48</v>
      </c>
      <c r="C13" s="12">
        <v>850000</v>
      </c>
      <c r="D13" s="12">
        <v>1190000</v>
      </c>
      <c r="E13" s="12">
        <f>(2.3*770000)+(0.8*1050000)</f>
        <v>2611000</v>
      </c>
      <c r="F13" s="12">
        <f t="shared" si="0"/>
        <v>340000</v>
      </c>
      <c r="G13" s="12">
        <f t="shared" si="1"/>
        <v>40</v>
      </c>
      <c r="H13" s="13">
        <f t="shared" si="2"/>
        <v>1421000</v>
      </c>
      <c r="I13" s="13">
        <f t="shared" si="3"/>
        <v>119.41176470588235</v>
      </c>
    </row>
    <row r="14" spans="1:9" ht="24" x14ac:dyDescent="0.6">
      <c r="A14" s="71"/>
      <c r="B14" s="11" t="s">
        <v>51</v>
      </c>
      <c r="C14" s="12">
        <v>970000</v>
      </c>
      <c r="D14" s="12">
        <v>1360000</v>
      </c>
      <c r="E14" s="12">
        <f>(2.7*770000)+(0.9*1050000)</f>
        <v>3024000</v>
      </c>
      <c r="F14" s="12">
        <f t="shared" si="0"/>
        <v>390000</v>
      </c>
      <c r="G14" s="12">
        <f t="shared" si="1"/>
        <v>40.206185567010309</v>
      </c>
      <c r="H14" s="13">
        <f t="shared" si="2"/>
        <v>1664000</v>
      </c>
      <c r="I14" s="13">
        <f t="shared" si="3"/>
        <v>122.35294117647059</v>
      </c>
    </row>
    <row r="15" spans="1:9" ht="24" x14ac:dyDescent="0.6">
      <c r="A15" s="71"/>
      <c r="B15" s="11" t="s">
        <v>52</v>
      </c>
      <c r="C15" s="12">
        <v>970000</v>
      </c>
      <c r="D15" s="12">
        <v>1360000</v>
      </c>
      <c r="E15" s="12">
        <f>(2.7*770000)+(0.9*1050000)</f>
        <v>3024000</v>
      </c>
      <c r="F15" s="12">
        <f t="shared" si="0"/>
        <v>390000</v>
      </c>
      <c r="G15" s="12">
        <f t="shared" si="1"/>
        <v>40.206185567010309</v>
      </c>
      <c r="H15" s="13">
        <f t="shared" si="2"/>
        <v>1664000</v>
      </c>
      <c r="I15" s="13">
        <f t="shared" si="3"/>
        <v>122.35294117647059</v>
      </c>
    </row>
    <row r="16" spans="1:9" ht="24" x14ac:dyDescent="0.6">
      <c r="A16" s="71"/>
      <c r="B16" s="11" t="s">
        <v>49</v>
      </c>
      <c r="C16" s="12">
        <v>350000</v>
      </c>
      <c r="D16" s="12">
        <v>490000</v>
      </c>
      <c r="E16" s="12">
        <f>(1.1*770000)+(0.4*1050000)</f>
        <v>1267000</v>
      </c>
      <c r="F16" s="12">
        <f t="shared" si="0"/>
        <v>140000</v>
      </c>
      <c r="G16" s="12">
        <f t="shared" si="1"/>
        <v>40</v>
      </c>
      <c r="H16" s="13">
        <f t="shared" si="2"/>
        <v>777000</v>
      </c>
      <c r="I16" s="13">
        <f t="shared" si="3"/>
        <v>158.57142857142858</v>
      </c>
    </row>
    <row r="17" spans="1:9" ht="24" x14ac:dyDescent="0.6">
      <c r="A17" s="71"/>
      <c r="B17" s="11" t="s">
        <v>50</v>
      </c>
      <c r="C17" s="12">
        <v>300000</v>
      </c>
      <c r="D17" s="12">
        <v>420000</v>
      </c>
      <c r="E17" s="12">
        <f>(0.9*770000)+(0.35*1050000)</f>
        <v>1060500</v>
      </c>
      <c r="F17" s="12">
        <f t="shared" si="0"/>
        <v>120000</v>
      </c>
      <c r="G17" s="12">
        <f t="shared" si="1"/>
        <v>40</v>
      </c>
      <c r="H17" s="13">
        <f t="shared" si="2"/>
        <v>640500</v>
      </c>
      <c r="I17" s="13">
        <f>(E17-D17)/D17%</f>
        <v>152.5</v>
      </c>
    </row>
    <row r="18" spans="1:9" ht="56.25" x14ac:dyDescent="0.6">
      <c r="A18" s="71"/>
      <c r="B18" s="11" t="s">
        <v>169</v>
      </c>
      <c r="C18" s="55" t="s">
        <v>56</v>
      </c>
      <c r="D18" s="55" t="s">
        <v>56</v>
      </c>
      <c r="E18" s="12">
        <f>(0.15*1050000)+(0.5*770000)+E8</f>
        <v>2663500</v>
      </c>
      <c r="F18" s="12" t="s">
        <v>160</v>
      </c>
      <c r="G18" s="12" t="s">
        <v>160</v>
      </c>
      <c r="H18" s="13" t="s">
        <v>160</v>
      </c>
      <c r="I18" s="13" t="s">
        <v>160</v>
      </c>
    </row>
    <row r="19" spans="1:9" ht="56.25" x14ac:dyDescent="0.6">
      <c r="A19" s="71"/>
      <c r="B19" s="11" t="s">
        <v>170</v>
      </c>
      <c r="C19" s="55" t="s">
        <v>56</v>
      </c>
      <c r="D19" s="55" t="s">
        <v>56</v>
      </c>
      <c r="E19" s="12">
        <f>(0.15*1050000)+(0.5*770000)+E12</f>
        <v>3153500</v>
      </c>
      <c r="F19" s="12" t="s">
        <v>160</v>
      </c>
      <c r="G19" s="12" t="s">
        <v>160</v>
      </c>
      <c r="H19" s="13" t="s">
        <v>160</v>
      </c>
      <c r="I19" s="13" t="s">
        <v>160</v>
      </c>
    </row>
    <row r="20" spans="1:9" ht="39" x14ac:dyDescent="0.6">
      <c r="A20" s="71"/>
      <c r="B20" s="11" t="s">
        <v>174</v>
      </c>
      <c r="C20" s="55" t="s">
        <v>161</v>
      </c>
      <c r="D20" s="12">
        <f>D8*120%</f>
        <v>1104000</v>
      </c>
      <c r="E20" s="12">
        <f>(0.15*1050000)+(0.5*770000)+E8</f>
        <v>2663500</v>
      </c>
      <c r="F20" s="12" t="s">
        <v>160</v>
      </c>
      <c r="G20" s="12" t="s">
        <v>160</v>
      </c>
      <c r="H20" s="13">
        <f t="shared" ref="H20:H22" si="4">E20-D20</f>
        <v>1559500</v>
      </c>
      <c r="I20" s="13">
        <f t="shared" ref="I20:I22" si="5">(E20-D20)/D20%</f>
        <v>141.2590579710145</v>
      </c>
    </row>
    <row r="21" spans="1:9" ht="39" x14ac:dyDescent="0.6">
      <c r="A21" s="71"/>
      <c r="B21" s="11" t="s">
        <v>175</v>
      </c>
      <c r="C21" s="55" t="s">
        <v>161</v>
      </c>
      <c r="D21" s="12">
        <f>D11*120%</f>
        <v>1332000</v>
      </c>
      <c r="E21" s="12">
        <f>(0.15*1050000)+(0.5*770000)+E11</f>
        <v>3153500</v>
      </c>
      <c r="F21" s="12" t="s">
        <v>160</v>
      </c>
      <c r="G21" s="12" t="s">
        <v>160</v>
      </c>
      <c r="H21" s="13">
        <f>E21-D21</f>
        <v>1821500</v>
      </c>
      <c r="I21" s="13">
        <f>(E21-D21)/D21%</f>
        <v>136.74924924924926</v>
      </c>
    </row>
    <row r="22" spans="1:9" ht="24" x14ac:dyDescent="0.6">
      <c r="A22" s="75"/>
      <c r="B22" s="11" t="s">
        <v>171</v>
      </c>
      <c r="C22" s="12">
        <f>115%*C5</f>
        <v>459999.99999999994</v>
      </c>
      <c r="D22" s="12">
        <f>D5*115%</f>
        <v>644000</v>
      </c>
      <c r="E22" s="12">
        <f>(0.4*770000)+E5</f>
        <v>1834000</v>
      </c>
      <c r="F22" s="12">
        <f t="shared" ref="F22" si="6">D22-C22</f>
        <v>184000.00000000006</v>
      </c>
      <c r="G22" s="12">
        <f t="shared" ref="G22" si="7">(D22-C22)/C22%</f>
        <v>40.000000000000021</v>
      </c>
      <c r="H22" s="13">
        <f t="shared" si="4"/>
        <v>1190000</v>
      </c>
      <c r="I22" s="13">
        <f t="shared" si="5"/>
        <v>184.78260869565219</v>
      </c>
    </row>
    <row r="23" spans="1:9" s="9" customFormat="1" ht="24" x14ac:dyDescent="0.6">
      <c r="A23" s="72" t="s">
        <v>6</v>
      </c>
      <c r="B23" s="46" t="s">
        <v>31</v>
      </c>
      <c r="C23" s="47">
        <v>697000</v>
      </c>
      <c r="D23" s="47">
        <v>1011000</v>
      </c>
      <c r="E23" s="47">
        <v>1370000</v>
      </c>
      <c r="F23" s="47">
        <f t="shared" si="0"/>
        <v>314000</v>
      </c>
      <c r="G23" s="47">
        <f t="shared" si="1"/>
        <v>45.05021520803443</v>
      </c>
      <c r="H23" s="8">
        <f t="shared" ref="H23:H35" si="8">E23-D23</f>
        <v>359000</v>
      </c>
      <c r="I23" s="8">
        <f t="shared" si="3"/>
        <v>35.509396636993074</v>
      </c>
    </row>
    <row r="24" spans="1:9" s="9" customFormat="1" ht="24" x14ac:dyDescent="0.6">
      <c r="A24" s="73"/>
      <c r="B24" s="46" t="s">
        <v>32</v>
      </c>
      <c r="C24" s="47">
        <v>392000</v>
      </c>
      <c r="D24" s="47">
        <v>568000</v>
      </c>
      <c r="E24" s="47" t="s">
        <v>160</v>
      </c>
      <c r="F24" s="47">
        <f t="shared" si="0"/>
        <v>176000</v>
      </c>
      <c r="G24" s="47">
        <f t="shared" si="1"/>
        <v>44.897959183673471</v>
      </c>
      <c r="H24" s="8" t="s">
        <v>160</v>
      </c>
      <c r="I24" s="8" t="s">
        <v>160</v>
      </c>
    </row>
    <row r="25" spans="1:9" s="9" customFormat="1" ht="24" x14ac:dyDescent="0.6">
      <c r="A25" s="73"/>
      <c r="B25" s="46" t="s">
        <v>168</v>
      </c>
      <c r="C25" s="47" t="s">
        <v>160</v>
      </c>
      <c r="D25" s="47" t="s">
        <v>160</v>
      </c>
      <c r="E25" s="47">
        <v>770000</v>
      </c>
      <c r="F25" s="47" t="s">
        <v>160</v>
      </c>
      <c r="G25" s="47" t="s">
        <v>160</v>
      </c>
      <c r="H25" s="8" t="s">
        <v>160</v>
      </c>
      <c r="I25" s="8" t="s">
        <v>160</v>
      </c>
    </row>
    <row r="26" spans="1:9" s="9" customFormat="1" ht="24" x14ac:dyDescent="0.6">
      <c r="A26" s="74"/>
      <c r="B26" s="46" t="s">
        <v>9</v>
      </c>
      <c r="C26" s="47">
        <v>434000</v>
      </c>
      <c r="D26" s="47">
        <v>629000</v>
      </c>
      <c r="E26" s="47">
        <v>850000</v>
      </c>
      <c r="F26" s="47">
        <f t="shared" si="0"/>
        <v>195000</v>
      </c>
      <c r="G26" s="47">
        <f t="shared" si="1"/>
        <v>44.930875576036868</v>
      </c>
      <c r="H26" s="8">
        <f t="shared" si="8"/>
        <v>221000</v>
      </c>
      <c r="I26" s="8">
        <f t="shared" si="3"/>
        <v>35.135135135135137</v>
      </c>
    </row>
    <row r="27" spans="1:9" ht="24" x14ac:dyDescent="0.6">
      <c r="A27" s="76" t="s">
        <v>10</v>
      </c>
      <c r="B27" s="11" t="s">
        <v>10</v>
      </c>
      <c r="C27" s="12">
        <v>665000</v>
      </c>
      <c r="D27" s="12">
        <v>898000</v>
      </c>
      <c r="E27" s="12">
        <v>1750000</v>
      </c>
      <c r="F27" s="12">
        <f t="shared" si="0"/>
        <v>233000</v>
      </c>
      <c r="G27" s="12">
        <f t="shared" si="1"/>
        <v>35.037593984962406</v>
      </c>
      <c r="H27" s="13">
        <f t="shared" si="8"/>
        <v>852000</v>
      </c>
      <c r="I27" s="13">
        <f t="shared" si="3"/>
        <v>94.877505567928736</v>
      </c>
    </row>
    <row r="28" spans="1:9" s="21" customFormat="1" ht="24" x14ac:dyDescent="0.6">
      <c r="A28" s="77"/>
      <c r="B28" s="11" t="s">
        <v>33</v>
      </c>
      <c r="C28" s="12">
        <v>525000</v>
      </c>
      <c r="D28" s="12">
        <v>709000</v>
      </c>
      <c r="E28" s="12" t="s">
        <v>160</v>
      </c>
      <c r="F28" s="12">
        <f t="shared" si="0"/>
        <v>184000</v>
      </c>
      <c r="G28" s="12">
        <f t="shared" si="1"/>
        <v>35.047619047619051</v>
      </c>
      <c r="H28" s="13" t="s">
        <v>160</v>
      </c>
      <c r="I28" s="13" t="s">
        <v>160</v>
      </c>
    </row>
    <row r="29" spans="1:9" s="21" customFormat="1" ht="24" x14ac:dyDescent="0.6">
      <c r="A29" s="77"/>
      <c r="B29" s="11" t="s">
        <v>176</v>
      </c>
      <c r="C29" s="12" t="s">
        <v>160</v>
      </c>
      <c r="D29" s="12" t="s">
        <v>160</v>
      </c>
      <c r="E29" s="12">
        <v>1112000</v>
      </c>
      <c r="F29" s="12" t="s">
        <v>160</v>
      </c>
      <c r="G29" s="12" t="s">
        <v>160</v>
      </c>
      <c r="H29" s="13" t="s">
        <v>160</v>
      </c>
      <c r="I29" s="13" t="s">
        <v>160</v>
      </c>
    </row>
    <row r="30" spans="1:9" s="21" customFormat="1" ht="24" x14ac:dyDescent="0.6">
      <c r="A30" s="77"/>
      <c r="B30" s="11" t="s">
        <v>166</v>
      </c>
      <c r="C30" s="12" t="s">
        <v>160</v>
      </c>
      <c r="D30" s="12" t="s">
        <v>160</v>
      </c>
      <c r="E30" s="12">
        <v>1050000</v>
      </c>
      <c r="F30" s="12" t="s">
        <v>160</v>
      </c>
      <c r="G30" s="12" t="s">
        <v>160</v>
      </c>
      <c r="H30" s="13" t="s">
        <v>160</v>
      </c>
      <c r="I30" s="13" t="s">
        <v>160</v>
      </c>
    </row>
    <row r="31" spans="1:9" ht="24" x14ac:dyDescent="0.6">
      <c r="A31" s="77"/>
      <c r="B31" s="11" t="s">
        <v>11</v>
      </c>
      <c r="C31" s="12">
        <v>618000</v>
      </c>
      <c r="D31" s="12">
        <v>834000</v>
      </c>
      <c r="E31" s="12">
        <v>1360000</v>
      </c>
      <c r="F31" s="12">
        <f t="shared" si="0"/>
        <v>216000</v>
      </c>
      <c r="G31" s="12">
        <f t="shared" si="1"/>
        <v>34.95145631067961</v>
      </c>
      <c r="H31" s="13">
        <f t="shared" si="8"/>
        <v>526000</v>
      </c>
      <c r="I31" s="13">
        <f t="shared" si="3"/>
        <v>63.069544364508396</v>
      </c>
    </row>
    <row r="32" spans="1:9" ht="24" x14ac:dyDescent="0.6">
      <c r="A32" s="78"/>
      <c r="B32" s="11" t="s">
        <v>12</v>
      </c>
      <c r="C32" s="12">
        <v>326000</v>
      </c>
      <c r="D32" s="12">
        <v>554000</v>
      </c>
      <c r="E32" s="12">
        <v>1000000</v>
      </c>
      <c r="F32" s="12">
        <f t="shared" si="0"/>
        <v>228000</v>
      </c>
      <c r="G32" s="12">
        <f t="shared" si="1"/>
        <v>69.938650306748471</v>
      </c>
      <c r="H32" s="13">
        <f t="shared" si="8"/>
        <v>446000</v>
      </c>
      <c r="I32" s="13">
        <f>(E32-D32)/D32%</f>
        <v>80.505415162454867</v>
      </c>
    </row>
    <row r="33" spans="1:9" ht="24" x14ac:dyDescent="0.6">
      <c r="A33" s="68" t="s">
        <v>26</v>
      </c>
      <c r="B33" s="46" t="s">
        <v>13</v>
      </c>
      <c r="C33" s="47">
        <v>12394000</v>
      </c>
      <c r="D33" s="47">
        <v>16732000</v>
      </c>
      <c r="E33" s="47">
        <v>27010000</v>
      </c>
      <c r="F33" s="47">
        <f t="shared" si="0"/>
        <v>4338000</v>
      </c>
      <c r="G33" s="47">
        <f t="shared" si="1"/>
        <v>35.000806842020332</v>
      </c>
      <c r="H33" s="8">
        <f>E33-D33</f>
        <v>10278000</v>
      </c>
      <c r="I33" s="8">
        <f t="shared" si="3"/>
        <v>61.427205355008368</v>
      </c>
    </row>
    <row r="34" spans="1:9" ht="24" x14ac:dyDescent="0.6">
      <c r="A34" s="68"/>
      <c r="B34" s="46" t="s">
        <v>14</v>
      </c>
      <c r="C34" s="47">
        <v>9639000</v>
      </c>
      <c r="D34" s="47">
        <v>13013000</v>
      </c>
      <c r="E34" s="47">
        <v>21000000</v>
      </c>
      <c r="F34" s="47">
        <f t="shared" si="0"/>
        <v>3374000</v>
      </c>
      <c r="G34" s="47">
        <f t="shared" si="1"/>
        <v>35.003631082062455</v>
      </c>
      <c r="H34" s="8">
        <f t="shared" si="8"/>
        <v>7987000</v>
      </c>
      <c r="I34" s="8">
        <f t="shared" si="3"/>
        <v>61.37708445400753</v>
      </c>
    </row>
    <row r="35" spans="1:9" ht="24" x14ac:dyDescent="0.6">
      <c r="A35" s="68"/>
      <c r="B35" s="46" t="s">
        <v>15</v>
      </c>
      <c r="C35" s="47">
        <v>6885000</v>
      </c>
      <c r="D35" s="47">
        <v>9295000</v>
      </c>
      <c r="E35" s="47">
        <v>15000000</v>
      </c>
      <c r="F35" s="47">
        <f t="shared" si="0"/>
        <v>2410000</v>
      </c>
      <c r="G35" s="47">
        <f t="shared" si="1"/>
        <v>35.003631082062455</v>
      </c>
      <c r="H35" s="8">
        <f t="shared" si="8"/>
        <v>5705000</v>
      </c>
      <c r="I35" s="8">
        <f t="shared" si="3"/>
        <v>61.37708445400753</v>
      </c>
    </row>
    <row r="36" spans="1:9" ht="24" x14ac:dyDescent="0.6">
      <c r="A36" s="68"/>
      <c r="B36" s="46" t="s">
        <v>16</v>
      </c>
      <c r="C36" s="47">
        <v>1376000</v>
      </c>
      <c r="D36" s="50">
        <v>1858000</v>
      </c>
      <c r="E36" s="47">
        <v>3000000</v>
      </c>
      <c r="F36" s="47">
        <f t="shared" si="0"/>
        <v>482000</v>
      </c>
      <c r="G36" s="47">
        <f t="shared" si="1"/>
        <v>35.029069767441861</v>
      </c>
      <c r="H36" s="8">
        <f>E36-D36</f>
        <v>1142000</v>
      </c>
      <c r="I36" s="8">
        <f t="shared" si="3"/>
        <v>61.463939720129169</v>
      </c>
    </row>
    <row r="37" spans="1:9" ht="24" x14ac:dyDescent="0.6">
      <c r="A37" s="68"/>
      <c r="B37" s="46" t="s">
        <v>17</v>
      </c>
      <c r="C37" s="47">
        <v>4133000</v>
      </c>
      <c r="D37" s="47">
        <v>5580000</v>
      </c>
      <c r="E37" s="47">
        <v>9010000</v>
      </c>
      <c r="F37" s="47">
        <f t="shared" si="0"/>
        <v>1447000</v>
      </c>
      <c r="G37" s="47">
        <f t="shared" si="1"/>
        <v>35.010887974836677</v>
      </c>
      <c r="H37" s="8">
        <f>E37-D37</f>
        <v>3430000</v>
      </c>
      <c r="I37" s="8">
        <f t="shared" si="3"/>
        <v>61.469534050179213</v>
      </c>
    </row>
    <row r="38" spans="1:9" ht="24" x14ac:dyDescent="0.6">
      <c r="A38" s="68"/>
      <c r="B38" s="46" t="s">
        <v>18</v>
      </c>
      <c r="C38" s="47">
        <v>6885000</v>
      </c>
      <c r="D38" s="47">
        <v>9295000</v>
      </c>
      <c r="E38" s="47">
        <v>15000000</v>
      </c>
      <c r="F38" s="47">
        <f t="shared" si="0"/>
        <v>2410000</v>
      </c>
      <c r="G38" s="47">
        <f t="shared" si="1"/>
        <v>35.003631082062455</v>
      </c>
      <c r="H38" s="8">
        <f>E38-D38</f>
        <v>5705000</v>
      </c>
      <c r="I38" s="8">
        <f t="shared" si="3"/>
        <v>61.37708445400753</v>
      </c>
    </row>
    <row r="39" spans="1:9" ht="24" x14ac:dyDescent="0.6">
      <c r="A39" s="68"/>
      <c r="B39" s="46" t="s">
        <v>19</v>
      </c>
      <c r="C39" s="47">
        <v>6885000</v>
      </c>
      <c r="D39" s="47">
        <v>9295000</v>
      </c>
      <c r="E39" s="47">
        <v>15000000</v>
      </c>
      <c r="F39" s="47">
        <f t="shared" si="0"/>
        <v>2410000</v>
      </c>
      <c r="G39" s="47">
        <f t="shared" si="1"/>
        <v>35.003631082062455</v>
      </c>
      <c r="H39" s="8">
        <f>E39-D39</f>
        <v>5705000</v>
      </c>
      <c r="I39" s="8">
        <f t="shared" si="3"/>
        <v>61.37708445400753</v>
      </c>
    </row>
    <row r="40" spans="1:9" ht="24" x14ac:dyDescent="0.6">
      <c r="A40" s="68"/>
      <c r="B40" s="46" t="s">
        <v>20</v>
      </c>
      <c r="C40" s="47">
        <v>20656000</v>
      </c>
      <c r="D40" s="47">
        <v>27886000</v>
      </c>
      <c r="E40" s="47">
        <v>45010000</v>
      </c>
      <c r="F40" s="47">
        <f t="shared" si="0"/>
        <v>7230000</v>
      </c>
      <c r="G40" s="47">
        <f t="shared" si="1"/>
        <v>35.001936483346242</v>
      </c>
      <c r="H40" s="8">
        <f>E40-D43</f>
        <v>28278000</v>
      </c>
      <c r="I40" s="8">
        <f t="shared" si="3"/>
        <v>61.407157713548017</v>
      </c>
    </row>
    <row r="41" spans="1:9" ht="38.25" x14ac:dyDescent="0.6">
      <c r="A41" s="68"/>
      <c r="B41" s="46" t="s">
        <v>21</v>
      </c>
      <c r="C41" s="47">
        <v>15835000</v>
      </c>
      <c r="D41" s="47">
        <v>21377000</v>
      </c>
      <c r="E41" s="47">
        <v>34500000</v>
      </c>
      <c r="F41" s="47">
        <f t="shared" si="0"/>
        <v>5542000</v>
      </c>
      <c r="G41" s="47">
        <f t="shared" si="1"/>
        <v>34.998421218819068</v>
      </c>
      <c r="H41" s="8">
        <f>E41-D41</f>
        <v>13123000</v>
      </c>
      <c r="I41" s="8">
        <f t="shared" si="3"/>
        <v>61.388408102165876</v>
      </c>
    </row>
    <row r="42" spans="1:9" ht="24" x14ac:dyDescent="0.6">
      <c r="A42" s="68"/>
      <c r="B42" s="46" t="s">
        <v>22</v>
      </c>
      <c r="C42" s="47">
        <v>15835000</v>
      </c>
      <c r="D42" s="47">
        <v>21377000</v>
      </c>
      <c r="E42" s="47">
        <v>34500000</v>
      </c>
      <c r="F42" s="47">
        <f t="shared" si="0"/>
        <v>5542000</v>
      </c>
      <c r="G42" s="47">
        <f t="shared" si="1"/>
        <v>34.998421218819068</v>
      </c>
      <c r="H42" s="8">
        <f>E42-D42</f>
        <v>13123000</v>
      </c>
      <c r="I42" s="8">
        <f t="shared" si="3"/>
        <v>61.388408102165876</v>
      </c>
    </row>
    <row r="43" spans="1:9" ht="24" x14ac:dyDescent="0.6">
      <c r="A43" s="68"/>
      <c r="B43" s="46" t="s">
        <v>23</v>
      </c>
      <c r="C43" s="47">
        <v>12394000</v>
      </c>
      <c r="D43" s="47">
        <v>16732000</v>
      </c>
      <c r="E43" s="47">
        <v>27010000</v>
      </c>
      <c r="F43" s="47">
        <f t="shared" si="0"/>
        <v>4338000</v>
      </c>
      <c r="G43" s="47">
        <f t="shared" si="1"/>
        <v>35.000806842020332</v>
      </c>
      <c r="H43" s="8">
        <f t="shared" ref="H43:H45" si="9">E43-D46</f>
        <v>27010000</v>
      </c>
      <c r="I43" s="8">
        <f t="shared" si="3"/>
        <v>61.427205355008368</v>
      </c>
    </row>
    <row r="44" spans="1:9" ht="24" x14ac:dyDescent="0.6">
      <c r="A44" s="68"/>
      <c r="B44" s="46" t="s">
        <v>24</v>
      </c>
      <c r="C44" s="47">
        <v>27541000</v>
      </c>
      <c r="D44" s="47">
        <v>37180000</v>
      </c>
      <c r="E44" s="47">
        <v>60010000</v>
      </c>
      <c r="F44" s="47">
        <f t="shared" si="0"/>
        <v>9639000</v>
      </c>
      <c r="G44" s="47">
        <f t="shared" si="1"/>
        <v>34.998729167423114</v>
      </c>
      <c r="H44" s="8">
        <f t="shared" si="9"/>
        <v>60010000</v>
      </c>
      <c r="I44" s="8">
        <f>(E44-D44)/D44%</f>
        <v>61.403980634749864</v>
      </c>
    </row>
    <row r="45" spans="1:9" ht="24" x14ac:dyDescent="0.6">
      <c r="A45" s="68"/>
      <c r="B45" s="46" t="s">
        <v>25</v>
      </c>
      <c r="C45" s="47">
        <v>30982000</v>
      </c>
      <c r="D45" s="47">
        <v>41826000</v>
      </c>
      <c r="E45" s="47">
        <v>67510000</v>
      </c>
      <c r="F45" s="47">
        <f t="shared" si="0"/>
        <v>10844000</v>
      </c>
      <c r="G45" s="47">
        <f t="shared" si="1"/>
        <v>35.000968304176617</v>
      </c>
      <c r="H45" s="8">
        <f t="shared" si="9"/>
        <v>67510000</v>
      </c>
      <c r="I45" s="8">
        <f>(E45-D45)/D45%</f>
        <v>61.40678047147707</v>
      </c>
    </row>
    <row r="46" spans="1:9" ht="15.75" thickBot="1" x14ac:dyDescent="0.3"/>
    <row r="47" spans="1:9" ht="21" x14ac:dyDescent="0.25">
      <c r="B47" s="3" t="s">
        <v>30</v>
      </c>
      <c r="C47" s="41"/>
    </row>
    <row r="48" spans="1:9" ht="15.75" x14ac:dyDescent="0.25">
      <c r="B48" s="33"/>
      <c r="C48" s="42"/>
    </row>
    <row r="49" spans="2:3" ht="15.75" x14ac:dyDescent="0.25">
      <c r="B49" s="34"/>
      <c r="C49" s="42"/>
    </row>
    <row r="50" spans="2:3" ht="16.5" thickBot="1" x14ac:dyDescent="0.3">
      <c r="B50" s="35"/>
    </row>
    <row r="51" spans="2:3" ht="32.25" thickBot="1" x14ac:dyDescent="0.3">
      <c r="B51" s="40" t="s">
        <v>58</v>
      </c>
    </row>
    <row r="52" spans="2:3" ht="32.25" thickBot="1" x14ac:dyDescent="0.3">
      <c r="B52" s="40" t="s">
        <v>184</v>
      </c>
    </row>
  </sheetData>
  <mergeCells count="5">
    <mergeCell ref="A1:I3"/>
    <mergeCell ref="A5:A22"/>
    <mergeCell ref="A23:A26"/>
    <mergeCell ref="A33:A45"/>
    <mergeCell ref="A27:A32"/>
  </mergeCells>
  <printOptions horizontalCentered="1" verticalCentered="1"/>
  <pageMargins left="0" right="0" top="0" bottom="0" header="0" footer="0"/>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2"/>
  <sheetViews>
    <sheetView rightToLeft="1" topLeftCell="A43" workbookViewId="0">
      <selection activeCell="B52" sqref="B52"/>
    </sheetView>
  </sheetViews>
  <sheetFormatPr defaultRowHeight="15" x14ac:dyDescent="0.25"/>
  <cols>
    <col min="1" max="1" width="11" customWidth="1"/>
    <col min="2" max="2" width="62.28515625" style="5" customWidth="1"/>
    <col min="3" max="3" width="17.7109375" style="5" customWidth="1"/>
    <col min="4" max="4" width="15.28515625" bestFit="1" customWidth="1"/>
    <col min="5" max="5" width="14.7109375" bestFit="1" customWidth="1"/>
    <col min="6" max="7" width="14.7109375" customWidth="1"/>
    <col min="8" max="8" width="16.140625" customWidth="1"/>
    <col min="9" max="9" width="10.85546875" customWidth="1"/>
  </cols>
  <sheetData>
    <row r="1" spans="1:9" x14ac:dyDescent="0.25">
      <c r="A1" s="59" t="s">
        <v>156</v>
      </c>
      <c r="B1" s="60"/>
      <c r="C1" s="60"/>
      <c r="D1" s="60"/>
      <c r="E1" s="60"/>
      <c r="F1" s="60"/>
      <c r="G1" s="60"/>
      <c r="H1" s="60"/>
      <c r="I1" s="61"/>
    </row>
    <row r="2" spans="1:9" x14ac:dyDescent="0.25">
      <c r="A2" s="62"/>
      <c r="B2" s="63"/>
      <c r="C2" s="63"/>
      <c r="D2" s="63"/>
      <c r="E2" s="63"/>
      <c r="F2" s="63"/>
      <c r="G2" s="63"/>
      <c r="H2" s="63"/>
      <c r="I2" s="64"/>
    </row>
    <row r="3" spans="1:9" x14ac:dyDescent="0.25">
      <c r="A3" s="65"/>
      <c r="B3" s="66"/>
      <c r="C3" s="66"/>
      <c r="D3" s="66"/>
      <c r="E3" s="66"/>
      <c r="F3" s="66"/>
      <c r="G3" s="66"/>
      <c r="H3" s="66"/>
      <c r="I3" s="67"/>
    </row>
    <row r="4" spans="1:9" ht="67.5" x14ac:dyDescent="0.25">
      <c r="A4" s="1" t="s">
        <v>27</v>
      </c>
      <c r="B4" s="7" t="s">
        <v>0</v>
      </c>
      <c r="C4" s="10" t="s">
        <v>138</v>
      </c>
      <c r="D4" s="1" t="s">
        <v>36</v>
      </c>
      <c r="E4" s="1" t="s">
        <v>37</v>
      </c>
      <c r="F4" s="10" t="s">
        <v>142</v>
      </c>
      <c r="G4" s="10" t="s">
        <v>143</v>
      </c>
      <c r="H4" s="10" t="s">
        <v>140</v>
      </c>
      <c r="I4" s="10" t="s">
        <v>141</v>
      </c>
    </row>
    <row r="5" spans="1:9" ht="24" x14ac:dyDescent="0.6">
      <c r="A5" s="70" t="s">
        <v>35</v>
      </c>
      <c r="B5" s="11" t="s">
        <v>40</v>
      </c>
      <c r="C5" s="12">
        <v>620000</v>
      </c>
      <c r="D5" s="12">
        <v>870000</v>
      </c>
      <c r="E5" s="12">
        <f>(1.3*770000)+(0.5*2210000)</f>
        <v>2106000</v>
      </c>
      <c r="F5" s="12">
        <f>D5-C5</f>
        <v>250000</v>
      </c>
      <c r="G5" s="12">
        <f>(D5-C5)/C5%</f>
        <v>40.322580645161288</v>
      </c>
      <c r="H5" s="13">
        <f>E5-D5</f>
        <v>1236000</v>
      </c>
      <c r="I5" s="13">
        <f>(E5-D5)/D5%</f>
        <v>142.06896551724137</v>
      </c>
    </row>
    <row r="6" spans="1:9" ht="24" x14ac:dyDescent="0.6">
      <c r="A6" s="71"/>
      <c r="B6" s="11" t="s">
        <v>41</v>
      </c>
      <c r="C6" s="12">
        <v>620000</v>
      </c>
      <c r="D6" s="12">
        <v>870000</v>
      </c>
      <c r="E6" s="12">
        <f>(1.3*770000)+(0.5*2210000)</f>
        <v>2106000</v>
      </c>
      <c r="F6" s="12">
        <f t="shared" ref="F6:F45" si="0">D6-C6</f>
        <v>250000</v>
      </c>
      <c r="G6" s="12">
        <f t="shared" ref="G6:G45" si="1">(D6-C6)/C6%</f>
        <v>40.322580645161288</v>
      </c>
      <c r="H6" s="13">
        <f t="shared" ref="H6:H40" si="2">E6-D6</f>
        <v>1236000</v>
      </c>
      <c r="I6" s="13">
        <f t="shared" ref="I6:I41" si="3">(E6-D6)/D6%</f>
        <v>142.06896551724137</v>
      </c>
    </row>
    <row r="7" spans="1:9" ht="24" x14ac:dyDescent="0.6">
      <c r="A7" s="71"/>
      <c r="B7" s="11" t="s">
        <v>42</v>
      </c>
      <c r="C7" s="12">
        <v>620000</v>
      </c>
      <c r="D7" s="12">
        <v>870000</v>
      </c>
      <c r="E7" s="12">
        <f>(1.3*770000)+(0.5*2210000)</f>
        <v>2106000</v>
      </c>
      <c r="F7" s="12">
        <f t="shared" si="0"/>
        <v>250000</v>
      </c>
      <c r="G7" s="12">
        <f t="shared" si="1"/>
        <v>40.322580645161288</v>
      </c>
      <c r="H7" s="13">
        <f t="shared" si="2"/>
        <v>1236000</v>
      </c>
      <c r="I7" s="13">
        <f t="shared" si="3"/>
        <v>142.06896551724137</v>
      </c>
    </row>
    <row r="8" spans="1:9" ht="24" x14ac:dyDescent="0.6">
      <c r="A8" s="71"/>
      <c r="B8" s="11" t="s">
        <v>43</v>
      </c>
      <c r="C8" s="12">
        <v>1050000</v>
      </c>
      <c r="D8" s="12">
        <v>1470000</v>
      </c>
      <c r="E8" s="12">
        <f>(1.8*770000)+(0.7*2210000)</f>
        <v>2933000</v>
      </c>
      <c r="F8" s="12">
        <f t="shared" si="0"/>
        <v>420000</v>
      </c>
      <c r="G8" s="12">
        <f t="shared" si="1"/>
        <v>40</v>
      </c>
      <c r="H8" s="13">
        <f t="shared" si="2"/>
        <v>1463000</v>
      </c>
      <c r="I8" s="13">
        <f t="shared" si="3"/>
        <v>99.523809523809518</v>
      </c>
    </row>
    <row r="9" spans="1:9" ht="24" x14ac:dyDescent="0.6">
      <c r="A9" s="71"/>
      <c r="B9" s="11" t="s">
        <v>44</v>
      </c>
      <c r="C9" s="12">
        <v>1050000</v>
      </c>
      <c r="D9" s="12">
        <v>1470000</v>
      </c>
      <c r="E9" s="12">
        <f>(1.8*770000)+(0.7*2210000)</f>
        <v>2933000</v>
      </c>
      <c r="F9" s="12">
        <f t="shared" si="0"/>
        <v>420000</v>
      </c>
      <c r="G9" s="12">
        <f t="shared" si="1"/>
        <v>40</v>
      </c>
      <c r="H9" s="13">
        <f t="shared" si="2"/>
        <v>1463000</v>
      </c>
      <c r="I9" s="13">
        <f t="shared" si="3"/>
        <v>99.523809523809518</v>
      </c>
    </row>
    <row r="10" spans="1:9" ht="24" x14ac:dyDescent="0.6">
      <c r="A10" s="71"/>
      <c r="B10" s="11" t="s">
        <v>45</v>
      </c>
      <c r="C10" s="12">
        <v>1050000</v>
      </c>
      <c r="D10" s="12">
        <v>1470000</v>
      </c>
      <c r="E10" s="12">
        <f>(1.8*770000)+(0.7*2210000)</f>
        <v>2933000</v>
      </c>
      <c r="F10" s="12">
        <f t="shared" si="0"/>
        <v>420000</v>
      </c>
      <c r="G10" s="12">
        <f t="shared" si="1"/>
        <v>40</v>
      </c>
      <c r="H10" s="13">
        <f t="shared" si="2"/>
        <v>1463000</v>
      </c>
      <c r="I10" s="13">
        <f t="shared" si="3"/>
        <v>99.523809523809518</v>
      </c>
    </row>
    <row r="11" spans="1:9" ht="24" x14ac:dyDescent="0.6">
      <c r="A11" s="71"/>
      <c r="B11" s="11" t="s">
        <v>46</v>
      </c>
      <c r="C11" s="12">
        <v>1270000</v>
      </c>
      <c r="D11" s="12">
        <v>1780000</v>
      </c>
      <c r="E11" s="12">
        <f>(2.3*770000)+(0.8*2210000)</f>
        <v>3539000</v>
      </c>
      <c r="F11" s="12">
        <f t="shared" si="0"/>
        <v>510000</v>
      </c>
      <c r="G11" s="12">
        <f t="shared" si="1"/>
        <v>40.15748031496063</v>
      </c>
      <c r="H11" s="13">
        <f t="shared" si="2"/>
        <v>1759000</v>
      </c>
      <c r="I11" s="13">
        <f t="shared" si="3"/>
        <v>98.82022471910112</v>
      </c>
    </row>
    <row r="12" spans="1:9" ht="24" x14ac:dyDescent="0.6">
      <c r="A12" s="71"/>
      <c r="B12" s="11" t="s">
        <v>47</v>
      </c>
      <c r="C12" s="12">
        <v>1270000</v>
      </c>
      <c r="D12" s="12">
        <v>1780000</v>
      </c>
      <c r="E12" s="12">
        <f>(2.3*770000)+(0.8*2210000)</f>
        <v>3539000</v>
      </c>
      <c r="F12" s="12">
        <f t="shared" si="0"/>
        <v>510000</v>
      </c>
      <c r="G12" s="12">
        <f t="shared" si="1"/>
        <v>40.15748031496063</v>
      </c>
      <c r="H12" s="13">
        <f t="shared" si="2"/>
        <v>1759000</v>
      </c>
      <c r="I12" s="13">
        <f t="shared" si="3"/>
        <v>98.82022471910112</v>
      </c>
    </row>
    <row r="13" spans="1:9" ht="24" x14ac:dyDescent="0.6">
      <c r="A13" s="71"/>
      <c r="B13" s="11" t="s">
        <v>48</v>
      </c>
      <c r="C13" s="12">
        <v>1340000</v>
      </c>
      <c r="D13" s="12">
        <v>1880000</v>
      </c>
      <c r="E13" s="12">
        <f>(2.3*770000)+(0.8*2210000)</f>
        <v>3539000</v>
      </c>
      <c r="F13" s="12">
        <f t="shared" si="0"/>
        <v>540000</v>
      </c>
      <c r="G13" s="12">
        <f t="shared" si="1"/>
        <v>40.298507462686565</v>
      </c>
      <c r="H13" s="13">
        <f t="shared" si="2"/>
        <v>1659000</v>
      </c>
      <c r="I13" s="13">
        <f t="shared" si="3"/>
        <v>88.244680851063833</v>
      </c>
    </row>
    <row r="14" spans="1:9" ht="24" x14ac:dyDescent="0.6">
      <c r="A14" s="71"/>
      <c r="B14" s="11" t="s">
        <v>51</v>
      </c>
      <c r="C14" s="12">
        <v>1590000</v>
      </c>
      <c r="D14" s="12">
        <v>2230000</v>
      </c>
      <c r="E14" s="12">
        <f>(2.7*770000)+(0.9*2210000)</f>
        <v>4068000</v>
      </c>
      <c r="F14" s="12">
        <f t="shared" si="0"/>
        <v>640000</v>
      </c>
      <c r="G14" s="12">
        <f t="shared" si="1"/>
        <v>40.251572327044023</v>
      </c>
      <c r="H14" s="13">
        <f t="shared" si="2"/>
        <v>1838000</v>
      </c>
      <c r="I14" s="13">
        <f t="shared" si="3"/>
        <v>82.421524663677133</v>
      </c>
    </row>
    <row r="15" spans="1:9" ht="24" x14ac:dyDescent="0.6">
      <c r="A15" s="71"/>
      <c r="B15" s="11" t="s">
        <v>52</v>
      </c>
      <c r="C15" s="12">
        <v>1590000</v>
      </c>
      <c r="D15" s="12">
        <v>2230000</v>
      </c>
      <c r="E15" s="12">
        <f>(2.7*770000)+(0.9*2210000)</f>
        <v>4068000</v>
      </c>
      <c r="F15" s="12">
        <f t="shared" si="0"/>
        <v>640000</v>
      </c>
      <c r="G15" s="12">
        <f t="shared" si="1"/>
        <v>40.251572327044023</v>
      </c>
      <c r="H15" s="13">
        <f t="shared" si="2"/>
        <v>1838000</v>
      </c>
      <c r="I15" s="13">
        <f t="shared" si="3"/>
        <v>82.421524663677133</v>
      </c>
    </row>
    <row r="16" spans="1:9" ht="24" x14ac:dyDescent="0.6">
      <c r="A16" s="71"/>
      <c r="B16" s="11" t="s">
        <v>49</v>
      </c>
      <c r="C16" s="12">
        <v>530000</v>
      </c>
      <c r="D16" s="12">
        <v>740000</v>
      </c>
      <c r="E16" s="12">
        <f>(1.1*770000)+(0.4*2210000)</f>
        <v>1731000</v>
      </c>
      <c r="F16" s="12">
        <f t="shared" si="0"/>
        <v>210000</v>
      </c>
      <c r="G16" s="12">
        <f t="shared" si="1"/>
        <v>39.622641509433961</v>
      </c>
      <c r="H16" s="13">
        <f t="shared" si="2"/>
        <v>991000</v>
      </c>
      <c r="I16" s="13">
        <f t="shared" si="3"/>
        <v>133.91891891891891</v>
      </c>
    </row>
    <row r="17" spans="1:9" ht="24" x14ac:dyDescent="0.6">
      <c r="A17" s="71"/>
      <c r="B17" s="11" t="s">
        <v>50</v>
      </c>
      <c r="C17" s="12">
        <v>400000</v>
      </c>
      <c r="D17" s="12">
        <v>560000</v>
      </c>
      <c r="E17" s="12">
        <f>(0.9*770000)+(0.35*2210000)</f>
        <v>1466500</v>
      </c>
      <c r="F17" s="12">
        <f t="shared" si="0"/>
        <v>160000</v>
      </c>
      <c r="G17" s="12">
        <f t="shared" si="1"/>
        <v>40</v>
      </c>
      <c r="H17" s="13">
        <f t="shared" si="2"/>
        <v>906500</v>
      </c>
      <c r="I17" s="13">
        <f t="shared" si="3"/>
        <v>161.875</v>
      </c>
    </row>
    <row r="18" spans="1:9" ht="39" x14ac:dyDescent="0.6">
      <c r="A18" s="71"/>
      <c r="B18" s="11" t="s">
        <v>172</v>
      </c>
      <c r="C18" s="55" t="s">
        <v>56</v>
      </c>
      <c r="D18" s="55" t="s">
        <v>56</v>
      </c>
      <c r="E18" s="12">
        <f>(0.15*2210000)+(0.5*770000)+E8</f>
        <v>3649500</v>
      </c>
      <c r="F18" s="12" t="s">
        <v>160</v>
      </c>
      <c r="G18" s="12" t="s">
        <v>160</v>
      </c>
      <c r="H18" s="13" t="s">
        <v>160</v>
      </c>
      <c r="I18" s="13" t="s">
        <v>160</v>
      </c>
    </row>
    <row r="19" spans="1:9" ht="58.5" x14ac:dyDescent="0.6">
      <c r="A19" s="71"/>
      <c r="B19" s="11" t="s">
        <v>173</v>
      </c>
      <c r="C19" s="55" t="s">
        <v>56</v>
      </c>
      <c r="D19" s="55" t="s">
        <v>56</v>
      </c>
      <c r="E19" s="12">
        <f>(0.15*2210000)+(0.5*770000)+E12</f>
        <v>4255500</v>
      </c>
      <c r="F19" s="12" t="s">
        <v>160</v>
      </c>
      <c r="G19" s="12" t="s">
        <v>160</v>
      </c>
      <c r="H19" s="13" t="s">
        <v>160</v>
      </c>
      <c r="I19" s="13" t="s">
        <v>160</v>
      </c>
    </row>
    <row r="20" spans="1:9" ht="39" x14ac:dyDescent="0.6">
      <c r="A20" s="71"/>
      <c r="B20" s="11" t="s">
        <v>174</v>
      </c>
      <c r="C20" s="55" t="s">
        <v>161</v>
      </c>
      <c r="D20" s="12">
        <f>D8*120%</f>
        <v>1764000</v>
      </c>
      <c r="E20" s="12">
        <f>(0.15*2210000)+(0.5*770000)+E8</f>
        <v>3649500</v>
      </c>
      <c r="F20" s="12" t="s">
        <v>160</v>
      </c>
      <c r="G20" s="12" t="s">
        <v>160</v>
      </c>
      <c r="H20" s="13">
        <f>E20-D20</f>
        <v>1885500</v>
      </c>
      <c r="I20" s="13">
        <f t="shared" si="3"/>
        <v>106.88775510204081</v>
      </c>
    </row>
    <row r="21" spans="1:9" ht="39" x14ac:dyDescent="0.6">
      <c r="A21" s="71"/>
      <c r="B21" s="11" t="s">
        <v>175</v>
      </c>
      <c r="C21" s="55" t="s">
        <v>161</v>
      </c>
      <c r="D21" s="12">
        <f>D11*120%</f>
        <v>2136000</v>
      </c>
      <c r="E21" s="12">
        <f>(0.15*2210000)+(0.5*770000)+E11</f>
        <v>4255500</v>
      </c>
      <c r="F21" s="12" t="s">
        <v>160</v>
      </c>
      <c r="G21" s="12" t="s">
        <v>160</v>
      </c>
      <c r="H21" s="13">
        <f>E21-D21</f>
        <v>2119500</v>
      </c>
      <c r="I21" s="13">
        <f>(E21-D21)/D21%</f>
        <v>99.227528089887642</v>
      </c>
    </row>
    <row r="22" spans="1:9" ht="24" x14ac:dyDescent="0.6">
      <c r="A22" s="71"/>
      <c r="B22" s="11" t="s">
        <v>59</v>
      </c>
      <c r="C22" s="12">
        <f>115%*C5</f>
        <v>713000</v>
      </c>
      <c r="D22" s="12">
        <f>D5*115%</f>
        <v>1000499.9999999999</v>
      </c>
      <c r="E22" s="12">
        <f>E5+(0.4*770000)</f>
        <v>2414000</v>
      </c>
      <c r="F22" s="12">
        <f t="shared" si="0"/>
        <v>287499.99999999988</v>
      </c>
      <c r="G22" s="47">
        <f>(D22-C22)/C22%</f>
        <v>40.322580645161274</v>
      </c>
      <c r="H22" s="13">
        <f t="shared" si="2"/>
        <v>1413500</v>
      </c>
      <c r="I22" s="13">
        <f t="shared" si="3"/>
        <v>141.27936031984009</v>
      </c>
    </row>
    <row r="23" spans="1:9" ht="24" x14ac:dyDescent="0.6">
      <c r="A23" s="72" t="s">
        <v>6</v>
      </c>
      <c r="B23" s="46" t="s">
        <v>31</v>
      </c>
      <c r="C23" s="47">
        <v>697000</v>
      </c>
      <c r="D23" s="47">
        <v>1011000</v>
      </c>
      <c r="E23" s="47">
        <v>1370000</v>
      </c>
      <c r="F23" s="47">
        <f t="shared" si="0"/>
        <v>314000</v>
      </c>
      <c r="G23" s="47">
        <f t="shared" si="1"/>
        <v>45.05021520803443</v>
      </c>
      <c r="H23" s="8">
        <f t="shared" si="2"/>
        <v>359000</v>
      </c>
      <c r="I23" s="8">
        <f t="shared" si="3"/>
        <v>35.509396636993074</v>
      </c>
    </row>
    <row r="24" spans="1:9" ht="24" x14ac:dyDescent="0.6">
      <c r="A24" s="73"/>
      <c r="B24" s="46" t="s">
        <v>178</v>
      </c>
      <c r="C24" s="47" t="s">
        <v>160</v>
      </c>
      <c r="D24" s="47" t="s">
        <v>160</v>
      </c>
      <c r="E24" s="47">
        <v>770000</v>
      </c>
      <c r="F24" s="47" t="s">
        <v>160</v>
      </c>
      <c r="G24" s="47" t="s">
        <v>160</v>
      </c>
      <c r="H24" s="8" t="s">
        <v>160</v>
      </c>
      <c r="I24" s="8" t="s">
        <v>160</v>
      </c>
    </row>
    <row r="25" spans="1:9" ht="24" x14ac:dyDescent="0.6">
      <c r="A25" s="73"/>
      <c r="B25" s="46" t="s">
        <v>177</v>
      </c>
      <c r="C25" s="47">
        <v>392000</v>
      </c>
      <c r="D25" s="47">
        <v>568000</v>
      </c>
      <c r="E25" s="47" t="s">
        <v>160</v>
      </c>
      <c r="F25" s="47">
        <f>D25-C25</f>
        <v>176000</v>
      </c>
      <c r="G25" s="47">
        <f>(D25-C25)/C25%</f>
        <v>44.897959183673471</v>
      </c>
      <c r="H25" s="8" t="s">
        <v>160</v>
      </c>
      <c r="I25" s="8" t="s">
        <v>160</v>
      </c>
    </row>
    <row r="26" spans="1:9" ht="24" x14ac:dyDescent="0.6">
      <c r="A26" s="74"/>
      <c r="B26" s="46" t="s">
        <v>9</v>
      </c>
      <c r="C26" s="47">
        <v>434000</v>
      </c>
      <c r="D26" s="47">
        <v>629000</v>
      </c>
      <c r="E26" s="47">
        <v>850000</v>
      </c>
      <c r="F26" s="47">
        <f>D26-C26</f>
        <v>195000</v>
      </c>
      <c r="G26" s="47">
        <f t="shared" si="1"/>
        <v>44.930875576036868</v>
      </c>
      <c r="H26" s="8">
        <f t="shared" si="2"/>
        <v>221000</v>
      </c>
      <c r="I26" s="8">
        <f t="shared" si="3"/>
        <v>35.135135135135137</v>
      </c>
    </row>
    <row r="27" spans="1:9" ht="24" x14ac:dyDescent="0.6">
      <c r="A27" s="70" t="s">
        <v>10</v>
      </c>
      <c r="B27" s="11" t="s">
        <v>10</v>
      </c>
      <c r="C27" s="12">
        <v>1790000</v>
      </c>
      <c r="D27" s="12">
        <v>2417000</v>
      </c>
      <c r="E27" s="12">
        <v>3700000</v>
      </c>
      <c r="F27" s="12">
        <f t="shared" si="0"/>
        <v>627000</v>
      </c>
      <c r="G27" s="12">
        <f>(D27-C27)/C27%</f>
        <v>35.027932960893857</v>
      </c>
      <c r="H27" s="13">
        <f>E27-D27</f>
        <v>1283000</v>
      </c>
      <c r="I27" s="13">
        <f t="shared" si="3"/>
        <v>53.082333471245349</v>
      </c>
    </row>
    <row r="28" spans="1:9" s="9" customFormat="1" ht="24" x14ac:dyDescent="0.6">
      <c r="A28" s="71"/>
      <c r="B28" s="11" t="s">
        <v>179</v>
      </c>
      <c r="C28" s="12">
        <v>1119000</v>
      </c>
      <c r="D28" s="12">
        <v>1510000</v>
      </c>
      <c r="E28" s="12" t="s">
        <v>160</v>
      </c>
      <c r="F28" s="12">
        <f t="shared" si="0"/>
        <v>391000</v>
      </c>
      <c r="G28" s="12">
        <f t="shared" si="1"/>
        <v>34.941912421805185</v>
      </c>
      <c r="H28" s="13" t="s">
        <v>160</v>
      </c>
      <c r="I28" s="13" t="s">
        <v>160</v>
      </c>
    </row>
    <row r="29" spans="1:9" s="9" customFormat="1" ht="24" x14ac:dyDescent="0.6">
      <c r="A29" s="71"/>
      <c r="B29" s="11" t="s">
        <v>53</v>
      </c>
      <c r="C29" s="12" t="s">
        <v>160</v>
      </c>
      <c r="D29" s="12" t="s">
        <v>160</v>
      </c>
      <c r="E29" s="12">
        <v>2340000</v>
      </c>
      <c r="F29" s="12" t="s">
        <v>160</v>
      </c>
      <c r="G29" s="12" t="s">
        <v>160</v>
      </c>
      <c r="H29" s="13" t="s">
        <v>160</v>
      </c>
      <c r="I29" s="13" t="s">
        <v>160</v>
      </c>
    </row>
    <row r="30" spans="1:9" s="9" customFormat="1" ht="24" x14ac:dyDescent="0.6">
      <c r="A30" s="71"/>
      <c r="B30" s="11" t="s">
        <v>34</v>
      </c>
      <c r="C30" s="12">
        <v>1074000</v>
      </c>
      <c r="D30" s="12">
        <v>1449000</v>
      </c>
      <c r="E30" s="12">
        <v>2210000</v>
      </c>
      <c r="F30" s="12">
        <f t="shared" si="0"/>
        <v>375000</v>
      </c>
      <c r="G30" s="12">
        <f t="shared" si="1"/>
        <v>34.916201117318437</v>
      </c>
      <c r="H30" s="13">
        <f t="shared" si="2"/>
        <v>761000</v>
      </c>
      <c r="I30" s="13">
        <f t="shared" si="3"/>
        <v>52.518978605935125</v>
      </c>
    </row>
    <row r="31" spans="1:9" ht="24" x14ac:dyDescent="0.6">
      <c r="A31" s="71"/>
      <c r="B31" s="11" t="s">
        <v>11</v>
      </c>
      <c r="C31" s="12">
        <v>731000</v>
      </c>
      <c r="D31" s="12">
        <v>990000</v>
      </c>
      <c r="E31" s="12">
        <v>1620000</v>
      </c>
      <c r="F31" s="12">
        <f t="shared" si="0"/>
        <v>259000</v>
      </c>
      <c r="G31" s="12">
        <f t="shared" si="1"/>
        <v>35.430916552667576</v>
      </c>
      <c r="H31" s="13">
        <f t="shared" si="2"/>
        <v>630000</v>
      </c>
      <c r="I31" s="13">
        <f t="shared" si="3"/>
        <v>63.636363636363633</v>
      </c>
    </row>
    <row r="32" spans="1:9" ht="24" x14ac:dyDescent="0.6">
      <c r="A32" s="75"/>
      <c r="B32" s="11" t="s">
        <v>12</v>
      </c>
      <c r="C32" s="12">
        <v>326000</v>
      </c>
      <c r="D32" s="12">
        <v>554000</v>
      </c>
      <c r="E32" s="12">
        <v>1000000</v>
      </c>
      <c r="F32" s="12">
        <f t="shared" si="0"/>
        <v>228000</v>
      </c>
      <c r="G32" s="12">
        <f t="shared" si="1"/>
        <v>69.938650306748471</v>
      </c>
      <c r="H32" s="13">
        <f t="shared" si="2"/>
        <v>446000</v>
      </c>
      <c r="I32" s="13">
        <f t="shared" si="3"/>
        <v>80.505415162454867</v>
      </c>
    </row>
    <row r="33" spans="1:9" ht="24" x14ac:dyDescent="0.6">
      <c r="A33" s="68" t="s">
        <v>26</v>
      </c>
      <c r="B33" s="46" t="s">
        <v>13</v>
      </c>
      <c r="C33" s="47">
        <v>36215000</v>
      </c>
      <c r="D33" s="47">
        <v>48890000</v>
      </c>
      <c r="E33" s="47">
        <v>76520000</v>
      </c>
      <c r="F33" s="47">
        <f t="shared" si="0"/>
        <v>12675000</v>
      </c>
      <c r="G33" s="47">
        <f t="shared" si="1"/>
        <v>34.999309678310091</v>
      </c>
      <c r="H33" s="8">
        <f t="shared" si="2"/>
        <v>27630000</v>
      </c>
      <c r="I33" s="8">
        <f t="shared" si="3"/>
        <v>56.514624667621192</v>
      </c>
    </row>
    <row r="34" spans="1:9" ht="24" x14ac:dyDescent="0.6">
      <c r="A34" s="68"/>
      <c r="B34" s="46" t="s">
        <v>14</v>
      </c>
      <c r="C34" s="47">
        <v>28165000</v>
      </c>
      <c r="D34" s="47">
        <v>38022000</v>
      </c>
      <c r="E34" s="47">
        <v>59510000</v>
      </c>
      <c r="F34" s="47">
        <f t="shared" si="0"/>
        <v>9857000</v>
      </c>
      <c r="G34" s="47">
        <f t="shared" si="1"/>
        <v>34.997337120539676</v>
      </c>
      <c r="H34" s="8">
        <f t="shared" si="2"/>
        <v>21488000</v>
      </c>
      <c r="I34" s="8">
        <f t="shared" si="3"/>
        <v>56.514649413497452</v>
      </c>
    </row>
    <row r="35" spans="1:9" ht="24" x14ac:dyDescent="0.6">
      <c r="A35" s="68"/>
      <c r="B35" s="46" t="s">
        <v>15</v>
      </c>
      <c r="C35" s="47">
        <v>20118000</v>
      </c>
      <c r="D35" s="47">
        <v>27159000</v>
      </c>
      <c r="E35" s="47">
        <v>42500000</v>
      </c>
      <c r="F35" s="47">
        <f t="shared" si="0"/>
        <v>7041000</v>
      </c>
      <c r="G35" s="47">
        <f t="shared" si="1"/>
        <v>34.998508798091258</v>
      </c>
      <c r="H35" s="8">
        <f t="shared" si="2"/>
        <v>15341000</v>
      </c>
      <c r="I35" s="8">
        <f t="shared" si="3"/>
        <v>56.485879450642514</v>
      </c>
    </row>
    <row r="36" spans="1:9" ht="24" x14ac:dyDescent="0.6">
      <c r="A36" s="68"/>
      <c r="B36" s="46" t="s">
        <v>16</v>
      </c>
      <c r="C36" s="47">
        <v>4022000</v>
      </c>
      <c r="D36" s="47">
        <v>5430000</v>
      </c>
      <c r="E36" s="47">
        <v>8500000</v>
      </c>
      <c r="F36" s="47">
        <f t="shared" si="0"/>
        <v>1408000</v>
      </c>
      <c r="G36" s="47">
        <f t="shared" si="1"/>
        <v>35.007458975634016</v>
      </c>
      <c r="H36" s="8">
        <f t="shared" si="2"/>
        <v>3070000</v>
      </c>
      <c r="I36" s="8">
        <f t="shared" si="3"/>
        <v>56.537753222836095</v>
      </c>
    </row>
    <row r="37" spans="1:9" ht="24" x14ac:dyDescent="0.6">
      <c r="A37" s="68"/>
      <c r="B37" s="46" t="s">
        <v>17</v>
      </c>
      <c r="C37" s="47">
        <v>14086000</v>
      </c>
      <c r="D37" s="47">
        <v>19016000</v>
      </c>
      <c r="E37" s="47">
        <v>29760000</v>
      </c>
      <c r="F37" s="47">
        <f t="shared" si="0"/>
        <v>4930000</v>
      </c>
      <c r="G37" s="47">
        <f t="shared" si="1"/>
        <v>34.99929007525202</v>
      </c>
      <c r="H37" s="8">
        <f t="shared" si="2"/>
        <v>10744000</v>
      </c>
      <c r="I37" s="8">
        <f t="shared" si="3"/>
        <v>56.499789650820361</v>
      </c>
    </row>
    <row r="38" spans="1:9" ht="24" x14ac:dyDescent="0.6">
      <c r="A38" s="68"/>
      <c r="B38" s="46" t="s">
        <v>18</v>
      </c>
      <c r="C38" s="47">
        <v>20118000</v>
      </c>
      <c r="D38" s="47">
        <v>27159000</v>
      </c>
      <c r="E38" s="47">
        <v>42500000</v>
      </c>
      <c r="F38" s="47">
        <f t="shared" si="0"/>
        <v>7041000</v>
      </c>
      <c r="G38" s="47">
        <f t="shared" si="1"/>
        <v>34.998508798091258</v>
      </c>
      <c r="H38" s="8">
        <f t="shared" si="2"/>
        <v>15341000</v>
      </c>
      <c r="I38" s="8">
        <f t="shared" si="3"/>
        <v>56.485879450642514</v>
      </c>
    </row>
    <row r="39" spans="1:9" ht="24" x14ac:dyDescent="0.6">
      <c r="A39" s="68"/>
      <c r="B39" s="46" t="s">
        <v>19</v>
      </c>
      <c r="C39" s="47">
        <v>20118000</v>
      </c>
      <c r="D39" s="47">
        <v>27159000</v>
      </c>
      <c r="E39" s="47">
        <v>42500000</v>
      </c>
      <c r="F39" s="47">
        <f t="shared" si="0"/>
        <v>7041000</v>
      </c>
      <c r="G39" s="47">
        <f t="shared" si="1"/>
        <v>34.998508798091258</v>
      </c>
      <c r="H39" s="8">
        <f t="shared" si="2"/>
        <v>15341000</v>
      </c>
      <c r="I39" s="8">
        <f t="shared" si="3"/>
        <v>56.485879450642514</v>
      </c>
    </row>
    <row r="40" spans="1:9" ht="24" x14ac:dyDescent="0.6">
      <c r="A40" s="68"/>
      <c r="B40" s="46" t="s">
        <v>20</v>
      </c>
      <c r="C40" s="47">
        <v>60354000</v>
      </c>
      <c r="D40" s="47">
        <v>81478000</v>
      </c>
      <c r="E40" s="47">
        <v>127520000</v>
      </c>
      <c r="F40" s="47">
        <f t="shared" si="0"/>
        <v>21124000</v>
      </c>
      <c r="G40" s="47">
        <f t="shared" si="1"/>
        <v>35.000165689100974</v>
      </c>
      <c r="H40" s="8">
        <f t="shared" si="2"/>
        <v>46042000</v>
      </c>
      <c r="I40" s="8">
        <f t="shared" si="3"/>
        <v>56.508505363410983</v>
      </c>
    </row>
    <row r="41" spans="1:9" ht="24" x14ac:dyDescent="0.6">
      <c r="A41" s="68"/>
      <c r="B41" s="46" t="s">
        <v>21</v>
      </c>
      <c r="C41" s="47">
        <v>46272000</v>
      </c>
      <c r="D41" s="47">
        <v>62467000</v>
      </c>
      <c r="E41" s="47">
        <v>97760000</v>
      </c>
      <c r="F41" s="47">
        <f t="shared" si="0"/>
        <v>16195000</v>
      </c>
      <c r="G41" s="47">
        <f t="shared" si="1"/>
        <v>34.999567773167357</v>
      </c>
      <c r="H41" s="8">
        <f>E43-D41</f>
        <v>14043000</v>
      </c>
      <c r="I41" s="8">
        <f t="shared" si="3"/>
        <v>56.498631277314423</v>
      </c>
    </row>
    <row r="42" spans="1:9" ht="24" x14ac:dyDescent="0.6">
      <c r="A42" s="68"/>
      <c r="B42" s="46" t="s">
        <v>22</v>
      </c>
      <c r="C42" s="47">
        <v>46272000</v>
      </c>
      <c r="D42" s="47">
        <v>62467000</v>
      </c>
      <c r="E42" s="47">
        <v>97760000</v>
      </c>
      <c r="F42" s="47">
        <f t="shared" si="0"/>
        <v>16195000</v>
      </c>
      <c r="G42" s="47">
        <f t="shared" si="1"/>
        <v>34.999567773167357</v>
      </c>
      <c r="H42" s="8">
        <f>E44-D42</f>
        <v>90543000</v>
      </c>
      <c r="I42" s="8">
        <f>(E42-D42)/D42%</f>
        <v>56.498631277314423</v>
      </c>
    </row>
    <row r="43" spans="1:9" ht="24" x14ac:dyDescent="0.6">
      <c r="A43" s="68"/>
      <c r="B43" s="46" t="s">
        <v>23</v>
      </c>
      <c r="C43" s="47">
        <v>36212000</v>
      </c>
      <c r="D43" s="47">
        <v>48886000</v>
      </c>
      <c r="E43" s="47">
        <v>76510000</v>
      </c>
      <c r="F43" s="47">
        <f t="shared" si="0"/>
        <v>12674000</v>
      </c>
      <c r="G43" s="47">
        <f t="shared" si="1"/>
        <v>34.999447696896056</v>
      </c>
      <c r="H43" s="8">
        <f>E45-D43</f>
        <v>121124000</v>
      </c>
      <c r="I43" s="8">
        <f>(E43-D43)/D43%</f>
        <v>56.506975412183451</v>
      </c>
    </row>
    <row r="44" spans="1:9" ht="24" x14ac:dyDescent="0.6">
      <c r="A44" s="68"/>
      <c r="B44" s="46" t="s">
        <v>24</v>
      </c>
      <c r="C44" s="47">
        <v>72420000</v>
      </c>
      <c r="D44" s="47">
        <v>97767000</v>
      </c>
      <c r="E44" s="47">
        <v>153010000</v>
      </c>
      <c r="F44" s="47">
        <f t="shared" si="0"/>
        <v>25347000</v>
      </c>
      <c r="G44" s="47">
        <f t="shared" si="1"/>
        <v>35</v>
      </c>
      <c r="H44" s="8">
        <f>E44-D44</f>
        <v>55243000</v>
      </c>
      <c r="I44" s="8">
        <f>(E44-D44)/D44%</f>
        <v>56.504751091881715</v>
      </c>
    </row>
    <row r="45" spans="1:9" ht="24" x14ac:dyDescent="0.6">
      <c r="A45" s="68"/>
      <c r="B45" s="46" t="s">
        <v>25</v>
      </c>
      <c r="C45" s="47">
        <v>80469000</v>
      </c>
      <c r="D45" s="47">
        <v>108633000</v>
      </c>
      <c r="E45" s="47">
        <v>170010000</v>
      </c>
      <c r="F45" s="47">
        <f t="shared" si="0"/>
        <v>28164000</v>
      </c>
      <c r="G45" s="47">
        <f t="shared" si="1"/>
        <v>34.999813592812139</v>
      </c>
      <c r="H45" s="8">
        <f>E45-D45</f>
        <v>61377000</v>
      </c>
      <c r="I45" s="8">
        <f>(E45-D45)/D45%</f>
        <v>56.499406257766978</v>
      </c>
    </row>
    <row r="46" spans="1:9" ht="15.75" thickBot="1" x14ac:dyDescent="0.3"/>
    <row r="47" spans="1:9" ht="21" x14ac:dyDescent="0.25">
      <c r="B47" s="3" t="s">
        <v>30</v>
      </c>
      <c r="C47" s="41"/>
    </row>
    <row r="48" spans="1:9" ht="15.75" x14ac:dyDescent="0.25">
      <c r="B48" s="33"/>
      <c r="C48" s="42"/>
    </row>
    <row r="49" spans="2:3" ht="15.75" x14ac:dyDescent="0.25">
      <c r="B49" s="34"/>
      <c r="C49" s="42"/>
    </row>
    <row r="50" spans="2:3" ht="16.5" thickBot="1" x14ac:dyDescent="0.3">
      <c r="B50" s="35"/>
    </row>
    <row r="51" spans="2:3" ht="32.25" thickBot="1" x14ac:dyDescent="0.3">
      <c r="B51" s="40" t="s">
        <v>58</v>
      </c>
    </row>
    <row r="52" spans="2:3" ht="32.25" thickBot="1" x14ac:dyDescent="0.3">
      <c r="B52" s="40" t="s">
        <v>184</v>
      </c>
    </row>
  </sheetData>
  <mergeCells count="5">
    <mergeCell ref="A1:I3"/>
    <mergeCell ref="A5:A22"/>
    <mergeCell ref="A23:A26"/>
    <mergeCell ref="A33:A45"/>
    <mergeCell ref="A27:A32"/>
  </mergeCells>
  <printOptions horizontalCentered="1" verticalCentered="1"/>
  <pageMargins left="0" right="0" top="0" bottom="0" header="0" footer="0"/>
  <pageSetup paperSize="9" scale="6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rightToLeft="1" topLeftCell="A28" zoomScale="80" zoomScaleNormal="80" workbookViewId="0">
      <selection sqref="A1:D1"/>
    </sheetView>
  </sheetViews>
  <sheetFormatPr defaultRowHeight="15" x14ac:dyDescent="0.25"/>
  <cols>
    <col min="2" max="2" width="45" style="5" customWidth="1"/>
    <col min="4" max="4" width="12.42578125" customWidth="1"/>
    <col min="6" max="6" width="45" style="5" customWidth="1"/>
    <col min="8" max="8" width="12.42578125" customWidth="1"/>
    <col min="10" max="10" width="47.7109375" style="5" customWidth="1"/>
    <col min="12" max="12" width="11.85546875" customWidth="1"/>
  </cols>
  <sheetData>
    <row r="1" spans="1:12" ht="26.25" x14ac:dyDescent="0.25">
      <c r="A1" s="79" t="s">
        <v>150</v>
      </c>
      <c r="B1" s="79"/>
      <c r="C1" s="79"/>
      <c r="D1" s="79"/>
      <c r="E1" s="79" t="s">
        <v>129</v>
      </c>
      <c r="F1" s="79"/>
      <c r="G1" s="79"/>
      <c r="H1" s="79"/>
      <c r="I1" s="80" t="s">
        <v>130</v>
      </c>
      <c r="J1" s="81"/>
      <c r="K1" s="81"/>
      <c r="L1" s="82"/>
    </row>
    <row r="2" spans="1:12" ht="18.75" x14ac:dyDescent="0.25">
      <c r="A2" s="22" t="s">
        <v>89</v>
      </c>
      <c r="B2" s="32" t="s">
        <v>90</v>
      </c>
      <c r="C2" s="22" t="s">
        <v>91</v>
      </c>
      <c r="D2" s="22" t="s">
        <v>128</v>
      </c>
      <c r="E2" s="22" t="s">
        <v>89</v>
      </c>
      <c r="F2" s="32" t="s">
        <v>90</v>
      </c>
      <c r="G2" s="22" t="s">
        <v>91</v>
      </c>
      <c r="H2" s="22" t="s">
        <v>128</v>
      </c>
      <c r="I2" s="23" t="s">
        <v>89</v>
      </c>
      <c r="J2" s="24" t="s">
        <v>90</v>
      </c>
      <c r="K2" s="23" t="s">
        <v>91</v>
      </c>
      <c r="L2" s="25" t="s">
        <v>128</v>
      </c>
    </row>
    <row r="3" spans="1:12" ht="37.5" x14ac:dyDescent="0.25">
      <c r="A3" s="26">
        <v>903500</v>
      </c>
      <c r="B3" s="27" t="s">
        <v>61</v>
      </c>
      <c r="C3" s="26">
        <v>8</v>
      </c>
      <c r="D3" s="28">
        <f>C3*201000</f>
        <v>1608000</v>
      </c>
      <c r="E3" s="26">
        <v>903500</v>
      </c>
      <c r="F3" s="27" t="s">
        <v>61</v>
      </c>
      <c r="G3" s="26">
        <v>9.1999999999999993</v>
      </c>
      <c r="H3" s="28">
        <f>G3*302000</f>
        <v>2778400</v>
      </c>
      <c r="I3" s="29">
        <v>903500</v>
      </c>
      <c r="J3" s="30" t="s">
        <v>92</v>
      </c>
      <c r="K3" s="29">
        <v>8.8000000000000007</v>
      </c>
      <c r="L3" s="31">
        <f>K3*410000</f>
        <v>3608000.0000000005</v>
      </c>
    </row>
    <row r="4" spans="1:12" ht="37.5" x14ac:dyDescent="0.25">
      <c r="A4" s="26">
        <v>903505</v>
      </c>
      <c r="B4" s="27" t="s">
        <v>62</v>
      </c>
      <c r="C4" s="26">
        <v>2.5</v>
      </c>
      <c r="D4" s="28">
        <f t="shared" ref="D4:D30" si="0">C4*201000</f>
        <v>502500</v>
      </c>
      <c r="E4" s="26">
        <v>903505</v>
      </c>
      <c r="F4" s="27" t="s">
        <v>62</v>
      </c>
      <c r="G4" s="26">
        <v>2.9</v>
      </c>
      <c r="H4" s="28">
        <f>G4*302000</f>
        <v>875800</v>
      </c>
      <c r="I4" s="29">
        <v>903501</v>
      </c>
      <c r="J4" s="30" t="s">
        <v>93</v>
      </c>
      <c r="K4" s="29">
        <v>8.6</v>
      </c>
      <c r="L4" s="31">
        <f t="shared" ref="L4:L55" si="1">K4*410000</f>
        <v>3526000</v>
      </c>
    </row>
    <row r="5" spans="1:12" ht="37.5" x14ac:dyDescent="0.25">
      <c r="A5" s="26">
        <v>903510</v>
      </c>
      <c r="B5" s="27" t="s">
        <v>63</v>
      </c>
      <c r="C5" s="26">
        <v>8</v>
      </c>
      <c r="D5" s="28">
        <f t="shared" si="0"/>
        <v>1608000</v>
      </c>
      <c r="E5" s="26">
        <v>903510</v>
      </c>
      <c r="F5" s="27" t="s">
        <v>63</v>
      </c>
      <c r="G5" s="26">
        <v>9.1999999999999993</v>
      </c>
      <c r="H5" s="28">
        <f t="shared" ref="H5:H30" si="2">G5*302000</f>
        <v>2778400</v>
      </c>
      <c r="I5" s="29">
        <v>903502</v>
      </c>
      <c r="J5" s="30" t="s">
        <v>94</v>
      </c>
      <c r="K5" s="29">
        <v>9.8000000000000007</v>
      </c>
      <c r="L5" s="31">
        <f t="shared" si="1"/>
        <v>4018000.0000000005</v>
      </c>
    </row>
    <row r="6" spans="1:12" ht="37.5" x14ac:dyDescent="0.25">
      <c r="A6" s="26">
        <v>903515</v>
      </c>
      <c r="B6" s="27" t="s">
        <v>64</v>
      </c>
      <c r="C6" s="26">
        <v>6.6</v>
      </c>
      <c r="D6" s="28">
        <f t="shared" si="0"/>
        <v>1326600</v>
      </c>
      <c r="E6" s="26">
        <v>903515</v>
      </c>
      <c r="F6" s="27" t="s">
        <v>64</v>
      </c>
      <c r="G6" s="26">
        <v>7.6</v>
      </c>
      <c r="H6" s="28">
        <f t="shared" si="2"/>
        <v>2295200</v>
      </c>
      <c r="I6" s="29">
        <v>903503</v>
      </c>
      <c r="J6" s="30" t="s">
        <v>95</v>
      </c>
      <c r="K6" s="29">
        <v>9.8000000000000007</v>
      </c>
      <c r="L6" s="31">
        <f t="shared" si="1"/>
        <v>4018000.0000000005</v>
      </c>
    </row>
    <row r="7" spans="1:12" ht="37.5" x14ac:dyDescent="0.25">
      <c r="A7" s="26">
        <v>903520</v>
      </c>
      <c r="B7" s="27" t="s">
        <v>65</v>
      </c>
      <c r="C7" s="26">
        <v>21</v>
      </c>
      <c r="D7" s="28">
        <f t="shared" si="0"/>
        <v>4221000</v>
      </c>
      <c r="E7" s="26">
        <v>903520</v>
      </c>
      <c r="F7" s="27" t="s">
        <v>65</v>
      </c>
      <c r="G7" s="26">
        <v>24.2</v>
      </c>
      <c r="H7" s="28">
        <f t="shared" si="2"/>
        <v>7308400</v>
      </c>
      <c r="I7" s="29">
        <v>903504</v>
      </c>
      <c r="J7" s="30" t="s">
        <v>96</v>
      </c>
      <c r="K7" s="29">
        <v>9.8000000000000007</v>
      </c>
      <c r="L7" s="31">
        <f t="shared" si="1"/>
        <v>4018000.0000000005</v>
      </c>
    </row>
    <row r="8" spans="1:12" ht="37.5" x14ac:dyDescent="0.25">
      <c r="A8" s="26">
        <v>903525</v>
      </c>
      <c r="B8" s="27" t="s">
        <v>66</v>
      </c>
      <c r="C8" s="26">
        <v>19</v>
      </c>
      <c r="D8" s="28">
        <f t="shared" si="0"/>
        <v>3819000</v>
      </c>
      <c r="E8" s="26">
        <v>903525</v>
      </c>
      <c r="F8" s="27" t="s">
        <v>66</v>
      </c>
      <c r="G8" s="26">
        <v>21.9</v>
      </c>
      <c r="H8" s="28">
        <f t="shared" si="2"/>
        <v>6613800</v>
      </c>
      <c r="I8" s="29">
        <v>903506</v>
      </c>
      <c r="J8" s="30" t="s">
        <v>97</v>
      </c>
      <c r="K8" s="29">
        <v>10</v>
      </c>
      <c r="L8" s="31">
        <f t="shared" si="1"/>
        <v>4100000</v>
      </c>
    </row>
    <row r="9" spans="1:12" ht="37.5" x14ac:dyDescent="0.25">
      <c r="A9" s="26">
        <v>903530</v>
      </c>
      <c r="B9" s="27" t="s">
        <v>67</v>
      </c>
      <c r="C9" s="26">
        <v>15</v>
      </c>
      <c r="D9" s="28">
        <f t="shared" si="0"/>
        <v>3015000</v>
      </c>
      <c r="E9" s="26">
        <v>903530</v>
      </c>
      <c r="F9" s="27" t="s">
        <v>67</v>
      </c>
      <c r="G9" s="26">
        <v>17.3</v>
      </c>
      <c r="H9" s="28">
        <f t="shared" si="2"/>
        <v>5224600</v>
      </c>
      <c r="I9" s="29">
        <v>903507</v>
      </c>
      <c r="J9" s="30" t="s">
        <v>98</v>
      </c>
      <c r="K9" s="29">
        <v>10</v>
      </c>
      <c r="L9" s="31">
        <f t="shared" si="1"/>
        <v>4100000</v>
      </c>
    </row>
    <row r="10" spans="1:12" ht="37.5" x14ac:dyDescent="0.25">
      <c r="A10" s="26">
        <v>903535</v>
      </c>
      <c r="B10" s="27" t="s">
        <v>68</v>
      </c>
      <c r="C10" s="26">
        <v>10.199999999999999</v>
      </c>
      <c r="D10" s="28">
        <f t="shared" si="0"/>
        <v>2050199.9999999998</v>
      </c>
      <c r="E10" s="26">
        <v>903535</v>
      </c>
      <c r="F10" s="27" t="s">
        <v>68</v>
      </c>
      <c r="G10" s="26">
        <v>11.7</v>
      </c>
      <c r="H10" s="28">
        <f t="shared" si="2"/>
        <v>3533400</v>
      </c>
      <c r="I10" s="29">
        <v>903508</v>
      </c>
      <c r="J10" s="30" t="s">
        <v>99</v>
      </c>
      <c r="K10" s="29">
        <v>10.4</v>
      </c>
      <c r="L10" s="31">
        <f t="shared" si="1"/>
        <v>4264000</v>
      </c>
    </row>
    <row r="11" spans="1:12" ht="37.5" x14ac:dyDescent="0.25">
      <c r="A11" s="26">
        <v>903537</v>
      </c>
      <c r="B11" s="27" t="s">
        <v>100</v>
      </c>
      <c r="C11" s="26">
        <v>10.199999999999999</v>
      </c>
      <c r="D11" s="28">
        <f t="shared" si="0"/>
        <v>2050199.9999999998</v>
      </c>
      <c r="E11" s="26">
        <v>903537</v>
      </c>
      <c r="F11" s="27" t="s">
        <v>69</v>
      </c>
      <c r="G11" s="26">
        <v>11.7</v>
      </c>
      <c r="H11" s="28">
        <f t="shared" si="2"/>
        <v>3533400</v>
      </c>
      <c r="I11" s="29">
        <v>903505</v>
      </c>
      <c r="J11" s="30" t="s">
        <v>62</v>
      </c>
      <c r="K11" s="29">
        <v>2.9</v>
      </c>
      <c r="L11" s="31">
        <f t="shared" si="1"/>
        <v>1189000</v>
      </c>
    </row>
    <row r="12" spans="1:12" ht="37.5" x14ac:dyDescent="0.25">
      <c r="A12" s="26">
        <v>903540</v>
      </c>
      <c r="B12" s="27" t="s">
        <v>70</v>
      </c>
      <c r="C12" s="26">
        <v>33.4</v>
      </c>
      <c r="D12" s="28">
        <f t="shared" si="0"/>
        <v>6713400</v>
      </c>
      <c r="E12" s="26">
        <v>903540</v>
      </c>
      <c r="F12" s="27" t="s">
        <v>70</v>
      </c>
      <c r="G12" s="26">
        <v>38.4</v>
      </c>
      <c r="H12" s="28">
        <f t="shared" si="2"/>
        <v>11596800</v>
      </c>
      <c r="I12" s="29">
        <v>903510</v>
      </c>
      <c r="J12" s="30" t="s">
        <v>63</v>
      </c>
      <c r="K12" s="29">
        <v>10.4</v>
      </c>
      <c r="L12" s="31">
        <f t="shared" si="1"/>
        <v>4264000</v>
      </c>
    </row>
    <row r="13" spans="1:12" ht="37.5" x14ac:dyDescent="0.25">
      <c r="A13" s="26">
        <v>903545</v>
      </c>
      <c r="B13" s="27" t="s">
        <v>71</v>
      </c>
      <c r="C13" s="26">
        <v>45.4</v>
      </c>
      <c r="D13" s="28">
        <f t="shared" si="0"/>
        <v>9125400</v>
      </c>
      <c r="E13" s="26">
        <v>903545</v>
      </c>
      <c r="F13" s="27" t="s">
        <v>71</v>
      </c>
      <c r="G13" s="26">
        <v>52.2</v>
      </c>
      <c r="H13" s="28">
        <f t="shared" si="2"/>
        <v>15764400</v>
      </c>
      <c r="I13" s="29">
        <v>903515</v>
      </c>
      <c r="J13" s="30" t="s">
        <v>64</v>
      </c>
      <c r="K13" s="29">
        <v>7.6</v>
      </c>
      <c r="L13" s="31">
        <f t="shared" si="1"/>
        <v>3116000</v>
      </c>
    </row>
    <row r="14" spans="1:12" ht="37.5" x14ac:dyDescent="0.25">
      <c r="A14" s="26">
        <v>903550</v>
      </c>
      <c r="B14" s="27" t="s">
        <v>144</v>
      </c>
      <c r="C14" s="26">
        <v>0.35</v>
      </c>
      <c r="D14" s="28">
        <f t="shared" si="0"/>
        <v>70350</v>
      </c>
      <c r="E14" s="26">
        <v>903555</v>
      </c>
      <c r="F14" s="27" t="s">
        <v>72</v>
      </c>
      <c r="G14" s="26">
        <v>2.6</v>
      </c>
      <c r="H14" s="28">
        <f t="shared" si="2"/>
        <v>785200</v>
      </c>
      <c r="I14" s="29">
        <v>903520</v>
      </c>
      <c r="J14" s="30" t="s">
        <v>65</v>
      </c>
      <c r="K14" s="29">
        <v>24.2</v>
      </c>
      <c r="L14" s="31">
        <f t="shared" si="1"/>
        <v>9922000</v>
      </c>
    </row>
    <row r="15" spans="1:12" ht="37.5" x14ac:dyDescent="0.25">
      <c r="A15" s="26">
        <v>903555</v>
      </c>
      <c r="B15" s="27" t="s">
        <v>72</v>
      </c>
      <c r="C15" s="26">
        <v>2</v>
      </c>
      <c r="D15" s="28">
        <f t="shared" si="0"/>
        <v>402000</v>
      </c>
      <c r="E15" s="26">
        <v>903560</v>
      </c>
      <c r="F15" s="27" t="s">
        <v>73</v>
      </c>
      <c r="G15" s="26">
        <v>8.3000000000000007</v>
      </c>
      <c r="H15" s="28">
        <f t="shared" si="2"/>
        <v>2506600</v>
      </c>
      <c r="I15" s="29">
        <v>903525</v>
      </c>
      <c r="J15" s="30" t="s">
        <v>66</v>
      </c>
      <c r="K15" s="29">
        <v>21.9</v>
      </c>
      <c r="L15" s="31">
        <f t="shared" si="1"/>
        <v>8979000</v>
      </c>
    </row>
    <row r="16" spans="1:12" ht="75" x14ac:dyDescent="0.25">
      <c r="A16" s="26">
        <v>903560</v>
      </c>
      <c r="B16" s="27" t="s">
        <v>73</v>
      </c>
      <c r="C16" s="26">
        <v>7</v>
      </c>
      <c r="D16" s="28">
        <f t="shared" si="0"/>
        <v>1407000</v>
      </c>
      <c r="E16" s="26">
        <v>903565</v>
      </c>
      <c r="F16" s="27" t="s">
        <v>74</v>
      </c>
      <c r="G16" s="26">
        <v>1.4</v>
      </c>
      <c r="H16" s="28">
        <f t="shared" si="2"/>
        <v>422800</v>
      </c>
      <c r="I16" s="29">
        <v>903530</v>
      </c>
      <c r="J16" s="30" t="s">
        <v>67</v>
      </c>
      <c r="K16" s="29">
        <v>17.3</v>
      </c>
      <c r="L16" s="31">
        <f t="shared" si="1"/>
        <v>7093000</v>
      </c>
    </row>
    <row r="17" spans="1:12" ht="75" x14ac:dyDescent="0.25">
      <c r="A17" s="26">
        <v>903565</v>
      </c>
      <c r="B17" s="27" t="s">
        <v>74</v>
      </c>
      <c r="C17" s="26">
        <v>1.2</v>
      </c>
      <c r="D17" s="28">
        <f t="shared" si="0"/>
        <v>241200</v>
      </c>
      <c r="E17" s="26">
        <v>903566</v>
      </c>
      <c r="F17" s="27" t="s">
        <v>75</v>
      </c>
      <c r="G17" s="26">
        <v>2.9</v>
      </c>
      <c r="H17" s="28">
        <f t="shared" si="2"/>
        <v>875800</v>
      </c>
      <c r="I17" s="29">
        <v>903535</v>
      </c>
      <c r="J17" s="30" t="s">
        <v>68</v>
      </c>
      <c r="K17" s="29">
        <v>11.7</v>
      </c>
      <c r="L17" s="31">
        <f t="shared" si="1"/>
        <v>4797000</v>
      </c>
    </row>
    <row r="18" spans="1:12" ht="93.75" x14ac:dyDescent="0.25">
      <c r="A18" s="26">
        <v>903566</v>
      </c>
      <c r="B18" s="27" t="s">
        <v>145</v>
      </c>
      <c r="C18" s="26">
        <v>2.5</v>
      </c>
      <c r="D18" s="28">
        <f t="shared" si="0"/>
        <v>502500</v>
      </c>
      <c r="E18" s="26">
        <v>903567</v>
      </c>
      <c r="F18" s="27" t="s">
        <v>76</v>
      </c>
      <c r="G18" s="26">
        <v>2.8</v>
      </c>
      <c r="H18" s="28">
        <f t="shared" si="2"/>
        <v>845600</v>
      </c>
      <c r="I18" s="29">
        <v>903537</v>
      </c>
      <c r="J18" s="30" t="s">
        <v>100</v>
      </c>
      <c r="K18" s="29">
        <v>11.7</v>
      </c>
      <c r="L18" s="31">
        <f t="shared" si="1"/>
        <v>4797000</v>
      </c>
    </row>
    <row r="19" spans="1:12" ht="75" x14ac:dyDescent="0.25">
      <c r="A19" s="26">
        <v>903567</v>
      </c>
      <c r="B19" s="27" t="s">
        <v>146</v>
      </c>
      <c r="C19" s="26">
        <v>2.4</v>
      </c>
      <c r="D19" s="28">
        <f t="shared" si="0"/>
        <v>482400</v>
      </c>
      <c r="E19" s="26">
        <v>903568</v>
      </c>
      <c r="F19" s="27" t="s">
        <v>77</v>
      </c>
      <c r="G19" s="26">
        <v>11.5</v>
      </c>
      <c r="H19" s="28">
        <f t="shared" si="2"/>
        <v>3473000</v>
      </c>
      <c r="I19" s="29">
        <v>903540</v>
      </c>
      <c r="J19" s="30" t="s">
        <v>101</v>
      </c>
      <c r="K19" s="29">
        <v>38.4</v>
      </c>
      <c r="L19" s="31">
        <f t="shared" si="1"/>
        <v>15744000</v>
      </c>
    </row>
    <row r="20" spans="1:12" ht="56.25" x14ac:dyDescent="0.25">
      <c r="A20" s="26">
        <v>903568</v>
      </c>
      <c r="B20" s="27" t="s">
        <v>110</v>
      </c>
      <c r="C20" s="26">
        <v>10</v>
      </c>
      <c r="D20" s="28">
        <f t="shared" si="0"/>
        <v>2010000</v>
      </c>
      <c r="E20" s="26">
        <v>903569</v>
      </c>
      <c r="F20" s="27" t="s">
        <v>78</v>
      </c>
      <c r="G20" s="26">
        <v>5.8</v>
      </c>
      <c r="H20" s="28">
        <f t="shared" si="2"/>
        <v>1751600</v>
      </c>
      <c r="I20" s="29">
        <v>903541</v>
      </c>
      <c r="J20" s="30" t="s">
        <v>102</v>
      </c>
      <c r="K20" s="29">
        <v>40</v>
      </c>
      <c r="L20" s="31">
        <f t="shared" si="1"/>
        <v>16400000</v>
      </c>
    </row>
    <row r="21" spans="1:12" ht="75" x14ac:dyDescent="0.25">
      <c r="A21" s="26">
        <v>903569</v>
      </c>
      <c r="B21" s="27" t="s">
        <v>147</v>
      </c>
      <c r="C21" s="26">
        <v>5</v>
      </c>
      <c r="D21" s="28">
        <f t="shared" si="0"/>
        <v>1005000</v>
      </c>
      <c r="E21" s="26">
        <v>903586</v>
      </c>
      <c r="F21" s="27" t="s">
        <v>79</v>
      </c>
      <c r="G21" s="26">
        <v>4.5999999999999996</v>
      </c>
      <c r="H21" s="28">
        <f t="shared" si="2"/>
        <v>1389200</v>
      </c>
      <c r="I21" s="29">
        <v>903542</v>
      </c>
      <c r="J21" s="30" t="s">
        <v>103</v>
      </c>
      <c r="K21" s="29">
        <v>42</v>
      </c>
      <c r="L21" s="31">
        <f t="shared" si="1"/>
        <v>17220000</v>
      </c>
    </row>
    <row r="22" spans="1:12" ht="37.5" x14ac:dyDescent="0.25">
      <c r="A22" s="26">
        <v>903570</v>
      </c>
      <c r="B22" s="27" t="s">
        <v>148</v>
      </c>
      <c r="C22" s="26">
        <v>6</v>
      </c>
      <c r="D22" s="28">
        <f t="shared" si="0"/>
        <v>1206000</v>
      </c>
      <c r="E22" s="26">
        <v>903570</v>
      </c>
      <c r="F22" s="27" t="s">
        <v>80</v>
      </c>
      <c r="G22" s="26">
        <v>6.9</v>
      </c>
      <c r="H22" s="28">
        <f t="shared" si="2"/>
        <v>2083800</v>
      </c>
      <c r="I22" s="29">
        <v>903543</v>
      </c>
      <c r="J22" s="30" t="s">
        <v>104</v>
      </c>
      <c r="K22" s="29">
        <v>42</v>
      </c>
      <c r="L22" s="31">
        <f t="shared" si="1"/>
        <v>17220000</v>
      </c>
    </row>
    <row r="23" spans="1:12" ht="131.25" x14ac:dyDescent="0.25">
      <c r="A23" s="26">
        <v>903572</v>
      </c>
      <c r="B23" s="27" t="s">
        <v>149</v>
      </c>
      <c r="C23" s="26">
        <v>3</v>
      </c>
      <c r="D23" s="28">
        <f t="shared" si="0"/>
        <v>603000</v>
      </c>
      <c r="E23" s="26">
        <v>903571</v>
      </c>
      <c r="F23" s="27" t="s">
        <v>81</v>
      </c>
      <c r="G23" s="26">
        <v>3.5</v>
      </c>
      <c r="H23" s="28">
        <f t="shared" si="2"/>
        <v>1057000</v>
      </c>
      <c r="I23" s="29">
        <v>903544</v>
      </c>
      <c r="J23" s="30" t="s">
        <v>105</v>
      </c>
      <c r="K23" s="29">
        <v>38.4</v>
      </c>
      <c r="L23" s="31">
        <f t="shared" si="1"/>
        <v>15744000</v>
      </c>
    </row>
    <row r="24" spans="1:12" ht="131.25" x14ac:dyDescent="0.25">
      <c r="A24" s="26">
        <v>903575</v>
      </c>
      <c r="B24" s="27" t="s">
        <v>83</v>
      </c>
      <c r="C24" s="26">
        <v>3</v>
      </c>
      <c r="D24" s="28">
        <f t="shared" si="0"/>
        <v>603000</v>
      </c>
      <c r="E24" s="26">
        <v>903572</v>
      </c>
      <c r="F24" s="27" t="s">
        <v>82</v>
      </c>
      <c r="G24" s="26">
        <v>3.5</v>
      </c>
      <c r="H24" s="28">
        <f t="shared" si="2"/>
        <v>1057000</v>
      </c>
      <c r="I24" s="29">
        <v>903546</v>
      </c>
      <c r="J24" s="30" t="s">
        <v>106</v>
      </c>
      <c r="K24" s="29">
        <v>39</v>
      </c>
      <c r="L24" s="31">
        <f t="shared" si="1"/>
        <v>15990000</v>
      </c>
    </row>
    <row r="25" spans="1:12" ht="93.75" x14ac:dyDescent="0.25">
      <c r="A25" s="26">
        <v>903576</v>
      </c>
      <c r="B25" s="27" t="s">
        <v>84</v>
      </c>
      <c r="C25" s="26">
        <v>4.5</v>
      </c>
      <c r="D25" s="28">
        <f t="shared" si="0"/>
        <v>904500</v>
      </c>
      <c r="E25" s="26">
        <v>903575</v>
      </c>
      <c r="F25" s="27" t="s">
        <v>83</v>
      </c>
      <c r="G25" s="26">
        <v>3.5</v>
      </c>
      <c r="H25" s="28">
        <f t="shared" si="2"/>
        <v>1057000</v>
      </c>
      <c r="I25" s="29">
        <v>903545</v>
      </c>
      <c r="J25" s="30" t="s">
        <v>71</v>
      </c>
      <c r="K25" s="29">
        <v>52.2</v>
      </c>
      <c r="L25" s="31">
        <f t="shared" si="1"/>
        <v>21402000</v>
      </c>
    </row>
    <row r="26" spans="1:12" ht="56.25" x14ac:dyDescent="0.25">
      <c r="A26" s="26">
        <v>903577</v>
      </c>
      <c r="B26" s="27" t="s">
        <v>85</v>
      </c>
      <c r="C26" s="26">
        <v>0.4</v>
      </c>
      <c r="D26" s="28">
        <f t="shared" si="0"/>
        <v>80400</v>
      </c>
      <c r="E26" s="26">
        <v>903576</v>
      </c>
      <c r="F26" s="27" t="s">
        <v>84</v>
      </c>
      <c r="G26" s="26">
        <v>5.2</v>
      </c>
      <c r="H26" s="28">
        <f t="shared" si="2"/>
        <v>1570400</v>
      </c>
      <c r="I26" s="29">
        <v>903555</v>
      </c>
      <c r="J26" s="30" t="s">
        <v>72</v>
      </c>
      <c r="K26" s="29">
        <v>3</v>
      </c>
      <c r="L26" s="31">
        <f t="shared" si="1"/>
        <v>1230000</v>
      </c>
    </row>
    <row r="27" spans="1:12" ht="56.25" x14ac:dyDescent="0.25">
      <c r="A27" s="26">
        <v>903580</v>
      </c>
      <c r="B27" s="27" t="s">
        <v>86</v>
      </c>
      <c r="C27" s="26">
        <v>0.4</v>
      </c>
      <c r="D27" s="28">
        <f t="shared" si="0"/>
        <v>80400</v>
      </c>
      <c r="E27" s="26">
        <v>903577</v>
      </c>
      <c r="F27" s="27" t="s">
        <v>85</v>
      </c>
      <c r="G27" s="26">
        <v>0.5</v>
      </c>
      <c r="H27" s="28">
        <f t="shared" si="2"/>
        <v>151000</v>
      </c>
      <c r="I27" s="29">
        <v>903560</v>
      </c>
      <c r="J27" s="30" t="s">
        <v>73</v>
      </c>
      <c r="K27" s="29">
        <v>9</v>
      </c>
      <c r="L27" s="31">
        <f t="shared" si="1"/>
        <v>3690000</v>
      </c>
    </row>
    <row r="28" spans="1:12" ht="75" x14ac:dyDescent="0.25">
      <c r="A28" s="26">
        <v>903585</v>
      </c>
      <c r="B28" s="27" t="s">
        <v>87</v>
      </c>
      <c r="C28" s="26">
        <v>2</v>
      </c>
      <c r="D28" s="28">
        <f t="shared" si="0"/>
        <v>402000</v>
      </c>
      <c r="E28" s="26">
        <v>903580</v>
      </c>
      <c r="F28" s="27" t="s">
        <v>86</v>
      </c>
      <c r="G28" s="26">
        <v>0.5</v>
      </c>
      <c r="H28" s="28">
        <f t="shared" si="2"/>
        <v>151000</v>
      </c>
      <c r="I28" s="29">
        <v>903564</v>
      </c>
      <c r="J28" s="30" t="s">
        <v>107</v>
      </c>
      <c r="K28" s="29">
        <v>2</v>
      </c>
      <c r="L28" s="31">
        <f t="shared" si="1"/>
        <v>820000</v>
      </c>
    </row>
    <row r="29" spans="1:12" ht="75" x14ac:dyDescent="0.25">
      <c r="A29" s="26">
        <v>903586</v>
      </c>
      <c r="B29" s="27" t="s">
        <v>79</v>
      </c>
      <c r="C29" s="26">
        <v>4</v>
      </c>
      <c r="D29" s="28">
        <f t="shared" si="0"/>
        <v>804000</v>
      </c>
      <c r="E29" s="26">
        <v>903585</v>
      </c>
      <c r="F29" s="27" t="s">
        <v>87</v>
      </c>
      <c r="G29" s="26">
        <v>2.2999999999999998</v>
      </c>
      <c r="H29" s="28">
        <f t="shared" si="2"/>
        <v>694600</v>
      </c>
      <c r="I29" s="29">
        <v>903565</v>
      </c>
      <c r="J29" s="30" t="s">
        <v>108</v>
      </c>
      <c r="K29" s="29">
        <v>2</v>
      </c>
      <c r="L29" s="31">
        <f t="shared" si="1"/>
        <v>820000</v>
      </c>
    </row>
    <row r="30" spans="1:12" ht="75" x14ac:dyDescent="0.25">
      <c r="A30" s="26"/>
      <c r="B30" s="27"/>
      <c r="C30" s="26"/>
      <c r="D30" s="28">
        <f t="shared" si="0"/>
        <v>0</v>
      </c>
      <c r="E30" s="26">
        <v>903588</v>
      </c>
      <c r="F30" s="27" t="s">
        <v>88</v>
      </c>
      <c r="G30" s="26">
        <v>2.5</v>
      </c>
      <c r="H30" s="28">
        <f t="shared" si="2"/>
        <v>755000</v>
      </c>
      <c r="I30" s="29">
        <v>903566</v>
      </c>
      <c r="J30" s="30" t="s">
        <v>75</v>
      </c>
      <c r="K30" s="29">
        <v>4.2</v>
      </c>
      <c r="L30" s="31">
        <f t="shared" si="1"/>
        <v>1722000</v>
      </c>
    </row>
    <row r="31" spans="1:12" ht="56.25" x14ac:dyDescent="0.25">
      <c r="B31"/>
      <c r="F31"/>
      <c r="I31" s="29">
        <v>903567</v>
      </c>
      <c r="J31" s="30" t="s">
        <v>109</v>
      </c>
      <c r="K31" s="29">
        <v>3.6</v>
      </c>
      <c r="L31" s="31">
        <f t="shared" si="1"/>
        <v>1476000</v>
      </c>
    </row>
    <row r="32" spans="1:12" ht="37.5" x14ac:dyDescent="0.25">
      <c r="B32"/>
      <c r="F32"/>
      <c r="I32" s="29">
        <v>903568</v>
      </c>
      <c r="J32" s="30" t="s">
        <v>110</v>
      </c>
      <c r="K32" s="29">
        <v>14.5</v>
      </c>
      <c r="L32" s="31">
        <f t="shared" si="1"/>
        <v>5945000</v>
      </c>
    </row>
    <row r="33" spans="2:12" ht="56.25" x14ac:dyDescent="0.25">
      <c r="B33"/>
      <c r="F33"/>
      <c r="I33" s="29">
        <v>903569</v>
      </c>
      <c r="J33" s="30" t="s">
        <v>111</v>
      </c>
      <c r="K33" s="29">
        <v>6</v>
      </c>
      <c r="L33" s="31">
        <f t="shared" si="1"/>
        <v>2460000</v>
      </c>
    </row>
    <row r="34" spans="2:12" ht="75" x14ac:dyDescent="0.25">
      <c r="B34"/>
      <c r="F34"/>
      <c r="I34" s="29">
        <v>903586</v>
      </c>
      <c r="J34" s="30" t="s">
        <v>79</v>
      </c>
      <c r="K34" s="29">
        <v>5</v>
      </c>
      <c r="L34" s="31">
        <f t="shared" si="1"/>
        <v>2050000</v>
      </c>
    </row>
    <row r="35" spans="2:12" ht="21" x14ac:dyDescent="0.25">
      <c r="B35"/>
      <c r="F35"/>
      <c r="I35" s="29">
        <v>903570</v>
      </c>
      <c r="J35" s="30" t="s">
        <v>112</v>
      </c>
      <c r="K35" s="29">
        <v>7.5</v>
      </c>
      <c r="L35" s="31">
        <f t="shared" si="1"/>
        <v>3075000</v>
      </c>
    </row>
    <row r="36" spans="2:12" ht="21" x14ac:dyDescent="0.25">
      <c r="B36"/>
      <c r="F36"/>
      <c r="I36" s="29">
        <v>903581</v>
      </c>
      <c r="J36" s="30" t="s">
        <v>113</v>
      </c>
      <c r="K36" s="29">
        <v>8.5</v>
      </c>
      <c r="L36" s="31">
        <f t="shared" si="1"/>
        <v>3485000</v>
      </c>
    </row>
    <row r="37" spans="2:12" ht="75" x14ac:dyDescent="0.25">
      <c r="B37"/>
      <c r="F37"/>
      <c r="I37" s="29">
        <v>903571</v>
      </c>
      <c r="J37" s="30" t="s">
        <v>81</v>
      </c>
      <c r="K37" s="29">
        <v>3.5</v>
      </c>
      <c r="L37" s="31">
        <f t="shared" si="1"/>
        <v>1435000</v>
      </c>
    </row>
    <row r="38" spans="2:12" ht="37.5" x14ac:dyDescent="0.25">
      <c r="B38"/>
      <c r="F38"/>
      <c r="I38" s="29">
        <v>903572</v>
      </c>
      <c r="J38" s="30" t="s">
        <v>114</v>
      </c>
      <c r="K38" s="29">
        <v>3.5</v>
      </c>
      <c r="L38" s="31">
        <f t="shared" si="1"/>
        <v>1435000</v>
      </c>
    </row>
    <row r="39" spans="2:12" ht="56.25" x14ac:dyDescent="0.25">
      <c r="B39"/>
      <c r="F39"/>
      <c r="I39" s="29">
        <v>903573</v>
      </c>
      <c r="J39" s="30" t="s">
        <v>115</v>
      </c>
      <c r="K39" s="29">
        <v>3.5</v>
      </c>
      <c r="L39" s="31">
        <f t="shared" si="1"/>
        <v>1435000</v>
      </c>
    </row>
    <row r="40" spans="2:12" ht="37.5" x14ac:dyDescent="0.25">
      <c r="B40"/>
      <c r="F40"/>
      <c r="I40" s="29">
        <v>903574</v>
      </c>
      <c r="J40" s="30" t="s">
        <v>116</v>
      </c>
      <c r="K40" s="29">
        <v>3.5</v>
      </c>
      <c r="L40" s="31">
        <f t="shared" si="1"/>
        <v>1435000</v>
      </c>
    </row>
    <row r="41" spans="2:12" ht="56.25" x14ac:dyDescent="0.25">
      <c r="B41"/>
      <c r="F41"/>
      <c r="I41" s="29">
        <v>903582</v>
      </c>
      <c r="J41" s="30" t="s">
        <v>117</v>
      </c>
      <c r="K41" s="29">
        <v>3.5</v>
      </c>
      <c r="L41" s="31">
        <f t="shared" si="1"/>
        <v>1435000</v>
      </c>
    </row>
    <row r="42" spans="2:12" ht="56.25" x14ac:dyDescent="0.25">
      <c r="B42"/>
      <c r="F42"/>
      <c r="I42" s="29">
        <v>903583</v>
      </c>
      <c r="J42" s="30" t="s">
        <v>118</v>
      </c>
      <c r="K42" s="29">
        <v>3</v>
      </c>
      <c r="L42" s="31">
        <f t="shared" si="1"/>
        <v>1230000</v>
      </c>
    </row>
    <row r="43" spans="2:12" ht="56.25" x14ac:dyDescent="0.25">
      <c r="B43"/>
      <c r="F43"/>
      <c r="I43" s="29">
        <v>903584</v>
      </c>
      <c r="J43" s="30" t="s">
        <v>119</v>
      </c>
      <c r="K43" s="29">
        <v>3</v>
      </c>
      <c r="L43" s="31">
        <f t="shared" si="1"/>
        <v>1230000</v>
      </c>
    </row>
    <row r="44" spans="2:12" ht="37.5" x14ac:dyDescent="0.25">
      <c r="B44"/>
      <c r="F44"/>
      <c r="I44" s="29">
        <v>903575</v>
      </c>
      <c r="J44" s="30" t="s">
        <v>120</v>
      </c>
      <c r="K44" s="29">
        <v>3.5</v>
      </c>
      <c r="L44" s="31">
        <f t="shared" si="1"/>
        <v>1435000</v>
      </c>
    </row>
    <row r="45" spans="2:12" ht="37.5" x14ac:dyDescent="0.25">
      <c r="B45"/>
      <c r="F45"/>
      <c r="I45" s="29">
        <v>903590</v>
      </c>
      <c r="J45" s="30" t="s">
        <v>121</v>
      </c>
      <c r="K45" s="29">
        <v>3.5</v>
      </c>
      <c r="L45" s="31">
        <f t="shared" si="1"/>
        <v>1435000</v>
      </c>
    </row>
    <row r="46" spans="2:12" ht="37.5" x14ac:dyDescent="0.25">
      <c r="B46"/>
      <c r="F46"/>
      <c r="I46" s="29">
        <v>903591</v>
      </c>
      <c r="J46" s="30" t="s">
        <v>122</v>
      </c>
      <c r="K46" s="29">
        <v>3.5</v>
      </c>
      <c r="L46" s="31">
        <f t="shared" si="1"/>
        <v>1435000</v>
      </c>
    </row>
    <row r="47" spans="2:12" ht="37.5" x14ac:dyDescent="0.25">
      <c r="B47"/>
      <c r="F47"/>
      <c r="I47" s="29">
        <v>903592</v>
      </c>
      <c r="J47" s="30" t="s">
        <v>123</v>
      </c>
      <c r="K47" s="29">
        <v>3.5</v>
      </c>
      <c r="L47" s="31">
        <f t="shared" si="1"/>
        <v>1435000</v>
      </c>
    </row>
    <row r="48" spans="2:12" ht="37.5" x14ac:dyDescent="0.25">
      <c r="B48"/>
      <c r="F48"/>
      <c r="I48" s="29">
        <v>903593</v>
      </c>
      <c r="J48" s="30" t="s">
        <v>124</v>
      </c>
      <c r="K48" s="29">
        <v>3.5</v>
      </c>
      <c r="L48" s="31">
        <f t="shared" si="1"/>
        <v>1435000</v>
      </c>
    </row>
    <row r="49" spans="2:12" ht="37.5" x14ac:dyDescent="0.25">
      <c r="B49"/>
      <c r="F49"/>
      <c r="I49" s="29">
        <v>903576</v>
      </c>
      <c r="J49" s="30" t="s">
        <v>84</v>
      </c>
      <c r="K49" s="29">
        <v>5.2</v>
      </c>
      <c r="L49" s="31">
        <f t="shared" si="1"/>
        <v>2132000</v>
      </c>
    </row>
    <row r="50" spans="2:12" ht="37.5" x14ac:dyDescent="0.25">
      <c r="B50"/>
      <c r="F50"/>
      <c r="I50" s="29">
        <v>903577</v>
      </c>
      <c r="J50" s="30" t="s">
        <v>125</v>
      </c>
      <c r="K50" s="29">
        <v>0.5</v>
      </c>
      <c r="L50" s="31">
        <f t="shared" si="1"/>
        <v>205000</v>
      </c>
    </row>
    <row r="51" spans="2:12" ht="37.5" x14ac:dyDescent="0.25">
      <c r="B51"/>
      <c r="F51"/>
      <c r="I51" s="29">
        <v>903578</v>
      </c>
      <c r="J51" s="30" t="s">
        <v>126</v>
      </c>
      <c r="K51" s="29">
        <v>0.5</v>
      </c>
      <c r="L51" s="31">
        <f t="shared" si="1"/>
        <v>205000</v>
      </c>
    </row>
    <row r="52" spans="2:12" ht="37.5" x14ac:dyDescent="0.25">
      <c r="B52"/>
      <c r="F52"/>
      <c r="I52" s="29">
        <v>903579</v>
      </c>
      <c r="J52" s="30" t="s">
        <v>127</v>
      </c>
      <c r="K52" s="29">
        <v>0.5</v>
      </c>
      <c r="L52" s="31">
        <f t="shared" si="1"/>
        <v>205000</v>
      </c>
    </row>
    <row r="53" spans="2:12" ht="56.25" x14ac:dyDescent="0.25">
      <c r="B53"/>
      <c r="F53"/>
      <c r="I53" s="29">
        <v>903580</v>
      </c>
      <c r="J53" s="30" t="s">
        <v>86</v>
      </c>
      <c r="K53" s="29">
        <v>0.5</v>
      </c>
      <c r="L53" s="31">
        <f t="shared" si="1"/>
        <v>205000</v>
      </c>
    </row>
    <row r="54" spans="2:12" ht="37.5" x14ac:dyDescent="0.25">
      <c r="B54"/>
      <c r="F54"/>
      <c r="I54" s="29">
        <v>903585</v>
      </c>
      <c r="J54" s="30" t="s">
        <v>87</v>
      </c>
      <c r="K54" s="29">
        <v>3</v>
      </c>
      <c r="L54" s="31">
        <f t="shared" si="1"/>
        <v>1230000</v>
      </c>
    </row>
    <row r="55" spans="2:12" ht="75" x14ac:dyDescent="0.25">
      <c r="B55"/>
      <c r="F55"/>
      <c r="I55" s="29">
        <v>903588</v>
      </c>
      <c r="J55" s="30" t="s">
        <v>88</v>
      </c>
      <c r="K55" s="29">
        <v>4</v>
      </c>
      <c r="L55" s="31">
        <f t="shared" si="1"/>
        <v>1640000</v>
      </c>
    </row>
  </sheetData>
  <mergeCells count="3">
    <mergeCell ref="E1:H1"/>
    <mergeCell ref="I1:L1"/>
    <mergeCell ref="A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rightToLeft="1" workbookViewId="0">
      <selection activeCell="C6" sqref="C6"/>
    </sheetView>
  </sheetViews>
  <sheetFormatPr defaultRowHeight="15" x14ac:dyDescent="0.25"/>
  <cols>
    <col min="1" max="1" width="19.7109375" customWidth="1"/>
    <col min="2" max="2" width="20" customWidth="1"/>
    <col min="3" max="3" width="15.7109375" customWidth="1"/>
    <col min="4" max="4" width="12.7109375" customWidth="1"/>
    <col min="5" max="7" width="14.28515625" customWidth="1"/>
    <col min="8" max="8" width="14" customWidth="1"/>
    <col min="9" max="9" width="13.42578125" customWidth="1"/>
  </cols>
  <sheetData>
    <row r="1" spans="1:9" ht="36" x14ac:dyDescent="0.9">
      <c r="A1" s="59" t="s">
        <v>155</v>
      </c>
      <c r="B1" s="60"/>
      <c r="C1" s="60"/>
      <c r="D1" s="60"/>
      <c r="E1" s="60"/>
      <c r="F1" s="60"/>
      <c r="G1" s="60"/>
      <c r="H1" s="60"/>
      <c r="I1" s="61"/>
    </row>
    <row r="2" spans="1:9" ht="52.5" customHeight="1" x14ac:dyDescent="0.25">
      <c r="A2" s="37" t="s">
        <v>27</v>
      </c>
      <c r="B2" s="37" t="s">
        <v>0</v>
      </c>
      <c r="C2" s="37" t="s">
        <v>138</v>
      </c>
      <c r="D2" s="37" t="s">
        <v>36</v>
      </c>
      <c r="E2" s="37" t="s">
        <v>37</v>
      </c>
      <c r="F2" s="38" t="s">
        <v>153</v>
      </c>
      <c r="G2" s="38" t="s">
        <v>154</v>
      </c>
      <c r="H2" s="38" t="s">
        <v>151</v>
      </c>
      <c r="I2" s="38" t="s">
        <v>152</v>
      </c>
    </row>
    <row r="3" spans="1:9" ht="24" x14ac:dyDescent="0.6">
      <c r="A3" s="83" t="s">
        <v>136</v>
      </c>
      <c r="B3" s="39" t="s">
        <v>131</v>
      </c>
      <c r="C3" s="2">
        <v>434000</v>
      </c>
      <c r="D3" s="36">
        <v>629000</v>
      </c>
      <c r="E3" s="36">
        <v>850000</v>
      </c>
      <c r="F3" s="36">
        <f>D3-C3</f>
        <v>195000</v>
      </c>
      <c r="G3" s="36">
        <f>F3/C3%</f>
        <v>44.930875576036868</v>
      </c>
      <c r="H3" s="36">
        <f>E3-D3</f>
        <v>221000</v>
      </c>
      <c r="I3" s="36">
        <f>(E3-D3)/D3%</f>
        <v>35.135135135135137</v>
      </c>
    </row>
    <row r="4" spans="1:9" ht="24" x14ac:dyDescent="0.6">
      <c r="A4" s="84"/>
      <c r="B4" s="39" t="s">
        <v>132</v>
      </c>
      <c r="C4" s="2">
        <f>50%*C3</f>
        <v>217000</v>
      </c>
      <c r="D4" s="36">
        <f>50/100*D3</f>
        <v>314500</v>
      </c>
      <c r="E4" s="36">
        <f>50/100*E3</f>
        <v>425000</v>
      </c>
      <c r="F4" s="36">
        <f t="shared" ref="F4:F13" si="0">D4-C4</f>
        <v>97500</v>
      </c>
      <c r="G4" s="36">
        <f t="shared" ref="G4:G13" si="1">F4/C4%</f>
        <v>44.930875576036868</v>
      </c>
      <c r="H4" s="36">
        <f t="shared" ref="H4:H13" si="2">E4-D4</f>
        <v>110500</v>
      </c>
      <c r="I4" s="36">
        <f t="shared" ref="I4:I13" si="3">(E4-D4)/D4%</f>
        <v>35.135135135135137</v>
      </c>
    </row>
    <row r="5" spans="1:9" ht="24" x14ac:dyDescent="0.6">
      <c r="A5" s="84"/>
      <c r="B5" s="39" t="s">
        <v>133</v>
      </c>
      <c r="C5" s="2">
        <v>434000</v>
      </c>
      <c r="D5" s="36">
        <v>629000</v>
      </c>
      <c r="E5" s="36">
        <v>850000</v>
      </c>
      <c r="F5" s="36">
        <f t="shared" si="0"/>
        <v>195000</v>
      </c>
      <c r="G5" s="36">
        <f t="shared" si="1"/>
        <v>44.930875576036868</v>
      </c>
      <c r="H5" s="36">
        <f t="shared" si="2"/>
        <v>221000</v>
      </c>
      <c r="I5" s="36">
        <f t="shared" si="3"/>
        <v>35.135135135135137</v>
      </c>
    </row>
    <row r="6" spans="1:9" ht="24" x14ac:dyDescent="0.6">
      <c r="A6" s="84"/>
      <c r="B6" s="39" t="s">
        <v>134</v>
      </c>
      <c r="C6" s="2">
        <v>434000</v>
      </c>
      <c r="D6" s="36">
        <v>629000</v>
      </c>
      <c r="E6" s="36">
        <v>850000</v>
      </c>
      <c r="F6" s="36">
        <f t="shared" si="0"/>
        <v>195000</v>
      </c>
      <c r="G6" s="36">
        <f t="shared" si="1"/>
        <v>44.930875576036868</v>
      </c>
      <c r="H6" s="36">
        <f t="shared" si="2"/>
        <v>221000</v>
      </c>
      <c r="I6" s="36">
        <f t="shared" si="3"/>
        <v>35.135135135135137</v>
      </c>
    </row>
    <row r="7" spans="1:9" ht="24" x14ac:dyDescent="0.6">
      <c r="A7" s="85"/>
      <c r="B7" s="39" t="s">
        <v>135</v>
      </c>
      <c r="C7" s="2">
        <v>434000</v>
      </c>
      <c r="D7" s="36">
        <v>629000</v>
      </c>
      <c r="E7" s="36">
        <v>850000</v>
      </c>
      <c r="F7" s="36">
        <f t="shared" si="0"/>
        <v>195000</v>
      </c>
      <c r="G7" s="36">
        <f t="shared" si="1"/>
        <v>44.930875576036868</v>
      </c>
      <c r="H7" s="36">
        <f t="shared" si="2"/>
        <v>221000</v>
      </c>
      <c r="I7" s="36">
        <f t="shared" si="3"/>
        <v>35.135135135135137</v>
      </c>
    </row>
    <row r="8" spans="1:9" ht="24" x14ac:dyDescent="0.6">
      <c r="A8" s="83" t="s">
        <v>10</v>
      </c>
      <c r="B8" s="39" t="s">
        <v>131</v>
      </c>
      <c r="C8" s="2">
        <v>317000</v>
      </c>
      <c r="D8" s="36">
        <v>428000</v>
      </c>
      <c r="E8" s="36">
        <v>730000</v>
      </c>
      <c r="F8" s="36">
        <f t="shared" si="0"/>
        <v>111000</v>
      </c>
      <c r="G8" s="36">
        <f t="shared" si="1"/>
        <v>35.01577287066246</v>
      </c>
      <c r="H8" s="36">
        <f t="shared" si="2"/>
        <v>302000</v>
      </c>
      <c r="I8" s="36">
        <f t="shared" si="3"/>
        <v>70.560747663551396</v>
      </c>
    </row>
    <row r="9" spans="1:9" ht="24" x14ac:dyDescent="0.6">
      <c r="A9" s="84"/>
      <c r="B9" s="39" t="s">
        <v>132</v>
      </c>
      <c r="C9" s="2">
        <v>317000</v>
      </c>
      <c r="D9" s="36">
        <v>428000</v>
      </c>
      <c r="E9" s="36">
        <v>730000</v>
      </c>
      <c r="F9" s="36">
        <f t="shared" si="0"/>
        <v>111000</v>
      </c>
      <c r="G9" s="36">
        <f t="shared" si="1"/>
        <v>35.01577287066246</v>
      </c>
      <c r="H9" s="36">
        <f t="shared" si="2"/>
        <v>302000</v>
      </c>
      <c r="I9" s="36">
        <f t="shared" si="3"/>
        <v>70.560747663551396</v>
      </c>
    </row>
    <row r="10" spans="1:9" ht="24" x14ac:dyDescent="0.6">
      <c r="A10" s="84"/>
      <c r="B10" s="39" t="s">
        <v>133</v>
      </c>
      <c r="C10" s="2">
        <v>618000</v>
      </c>
      <c r="D10" s="36">
        <v>834000</v>
      </c>
      <c r="E10" s="36">
        <v>1360000</v>
      </c>
      <c r="F10" s="36">
        <f t="shared" si="0"/>
        <v>216000</v>
      </c>
      <c r="G10" s="36">
        <f t="shared" si="1"/>
        <v>34.95145631067961</v>
      </c>
      <c r="H10" s="36">
        <f t="shared" si="2"/>
        <v>526000</v>
      </c>
      <c r="I10" s="36">
        <f t="shared" si="3"/>
        <v>63.069544364508396</v>
      </c>
    </row>
    <row r="11" spans="1:9" ht="24" x14ac:dyDescent="0.6">
      <c r="A11" s="84"/>
      <c r="B11" s="39" t="s">
        <v>134</v>
      </c>
      <c r="C11" s="45">
        <v>731000</v>
      </c>
      <c r="D11" s="36">
        <v>990000</v>
      </c>
      <c r="E11" s="36">
        <v>1620000</v>
      </c>
      <c r="F11" s="36">
        <f t="shared" si="0"/>
        <v>259000</v>
      </c>
      <c r="G11" s="36">
        <f t="shared" si="1"/>
        <v>35.430916552667576</v>
      </c>
      <c r="H11" s="36">
        <f t="shared" si="2"/>
        <v>630000</v>
      </c>
      <c r="I11" s="36">
        <f t="shared" si="3"/>
        <v>63.636363636363633</v>
      </c>
    </row>
    <row r="12" spans="1:9" ht="24" x14ac:dyDescent="0.6">
      <c r="A12" s="85"/>
      <c r="B12" s="39" t="s">
        <v>135</v>
      </c>
      <c r="C12" s="2">
        <v>860000</v>
      </c>
      <c r="D12" s="36">
        <v>1161000</v>
      </c>
      <c r="E12" s="36">
        <v>1900000</v>
      </c>
      <c r="F12" s="36">
        <f t="shared" si="0"/>
        <v>301000</v>
      </c>
      <c r="G12" s="36">
        <f t="shared" si="1"/>
        <v>35</v>
      </c>
      <c r="H12" s="36">
        <f t="shared" si="2"/>
        <v>739000</v>
      </c>
      <c r="I12" s="36">
        <f t="shared" si="3"/>
        <v>63.6520241171404</v>
      </c>
    </row>
    <row r="13" spans="1:9" ht="24" x14ac:dyDescent="0.6">
      <c r="A13" s="86" t="s">
        <v>137</v>
      </c>
      <c r="B13" s="86"/>
      <c r="C13" s="2">
        <v>326000</v>
      </c>
      <c r="D13" s="36">
        <v>554000</v>
      </c>
      <c r="E13" s="36">
        <v>1000000</v>
      </c>
      <c r="F13" s="36">
        <f t="shared" si="0"/>
        <v>228000</v>
      </c>
      <c r="G13" s="36">
        <f t="shared" si="1"/>
        <v>69.938650306748471</v>
      </c>
      <c r="H13" s="36">
        <f t="shared" si="2"/>
        <v>446000</v>
      </c>
      <c r="I13" s="36">
        <f t="shared" si="3"/>
        <v>80.505415162454867</v>
      </c>
    </row>
  </sheetData>
  <mergeCells count="4">
    <mergeCell ref="A3:A7"/>
    <mergeCell ref="A1:I1"/>
    <mergeCell ref="A13:B13"/>
    <mergeCell ref="A8:A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دولتی</vt:lpstr>
      <vt:lpstr>خصوصی</vt:lpstr>
      <vt:lpstr>عمومی غیر دولتی</vt:lpstr>
      <vt:lpstr>خیریه</vt:lpstr>
      <vt:lpstr>تعرفه پرستاری</vt:lpstr>
      <vt:lpstr>دندان پزشکی</vt:lpstr>
      <vt:lpstr>خصوصی!Print_Area</vt:lpstr>
      <vt:lpstr>خیریه!Print_Area</vt:lpstr>
      <vt:lpstr>دولتی!Print_Area</vt:lpstr>
      <vt:lpstr>'عمومی غیر دولتی'!Print_Area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Raoufi</dc:creator>
  <cp:lastModifiedBy>Sahar Kargar</cp:lastModifiedBy>
  <cp:lastPrinted>2025-04-21T06:23:22Z</cp:lastPrinted>
  <dcterms:created xsi:type="dcterms:W3CDTF">2023-04-25T05:47:16Z</dcterms:created>
  <dcterms:modified xsi:type="dcterms:W3CDTF">2025-07-19T06:15:41Z</dcterms:modified>
</cp:coreProperties>
</file>